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3"/>
  </bookViews>
  <sheets>
    <sheet name="Týmy" sheetId="1" r:id="rId1"/>
    <sheet name="Výsledky" sheetId="2" r:id="rId2"/>
    <sheet name="Tabulky" sheetId="3" r:id="rId3"/>
    <sheet name="Konečné pořadí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<sst xmlns="http://schemas.openxmlformats.org/spreadsheetml/2006/main" count="334" uniqueCount="105">
  <si>
    <t>Výsledek</t>
  </si>
  <si>
    <t>:</t>
  </si>
  <si>
    <t>Utkání</t>
  </si>
  <si>
    <r>
      <t xml:space="preserve">Skupina </t>
    </r>
    <r>
      <rPr>
        <b/>
        <sz val="26"/>
        <rFont val="Arial"/>
        <family val="2"/>
      </rPr>
      <t>A</t>
    </r>
  </si>
  <si>
    <r>
      <t xml:space="preserve">Skupina </t>
    </r>
    <r>
      <rPr>
        <b/>
        <sz val="26"/>
        <rFont val="Arial"/>
        <family val="2"/>
      </rPr>
      <t>B</t>
    </r>
  </si>
  <si>
    <t>9:00</t>
  </si>
  <si>
    <t>11:00</t>
  </si>
  <si>
    <t>12:00</t>
  </si>
  <si>
    <t>Čtvrtfinále</t>
  </si>
  <si>
    <t>Semifinále</t>
  </si>
  <si>
    <t>Finále</t>
  </si>
  <si>
    <t>10:00</t>
  </si>
  <si>
    <t>14:00</t>
  </si>
  <si>
    <t>15:00</t>
  </si>
  <si>
    <t>O 3.místo</t>
  </si>
  <si>
    <t>13:00</t>
  </si>
  <si>
    <t>skore</t>
  </si>
  <si>
    <t>body</t>
  </si>
  <si>
    <t>umístění</t>
  </si>
  <si>
    <t>A</t>
  </si>
  <si>
    <t>B</t>
  </si>
  <si>
    <t>Týmy</t>
  </si>
  <si>
    <t>Konečné pořadí</t>
  </si>
  <si>
    <t>9:12</t>
  </si>
  <si>
    <t>9:24</t>
  </si>
  <si>
    <t>9:36</t>
  </si>
  <si>
    <t>9:48</t>
  </si>
  <si>
    <t>10:12</t>
  </si>
  <si>
    <t>10:24</t>
  </si>
  <si>
    <t>10:36</t>
  </si>
  <si>
    <t>10:48</t>
  </si>
  <si>
    <t>11:12</t>
  </si>
  <si>
    <t>11:24</t>
  </si>
  <si>
    <t>11:36</t>
  </si>
  <si>
    <t>11:48</t>
  </si>
  <si>
    <t>12:12</t>
  </si>
  <si>
    <t>12:24</t>
  </si>
  <si>
    <t>12:36</t>
  </si>
  <si>
    <t>12:48</t>
  </si>
  <si>
    <t>13:12</t>
  </si>
  <si>
    <t>13:24</t>
  </si>
  <si>
    <t>13:36</t>
  </si>
  <si>
    <t>13:48</t>
  </si>
  <si>
    <t>B1</t>
  </si>
  <si>
    <t>SKUPINA A</t>
  </si>
  <si>
    <t>body1</t>
  </si>
  <si>
    <t>body2</t>
  </si>
  <si>
    <t>rozdíl skore</t>
  </si>
  <si>
    <t>pořadí</t>
  </si>
  <si>
    <t>b2</t>
  </si>
  <si>
    <t>r2</t>
  </si>
  <si>
    <t>v2</t>
  </si>
  <si>
    <t>i2</t>
  </si>
  <si>
    <t>r1</t>
  </si>
  <si>
    <t>v1</t>
  </si>
  <si>
    <t>p1</t>
  </si>
  <si>
    <t>los</t>
  </si>
  <si>
    <t>pom. b. + los</t>
  </si>
  <si>
    <t>prubezne body</t>
  </si>
  <si>
    <t>prubezne poradi</t>
  </si>
  <si>
    <t>1. místo</t>
  </si>
  <si>
    <t>2. místo</t>
  </si>
  <si>
    <t>3. místo</t>
  </si>
  <si>
    <t>4. místo</t>
  </si>
  <si>
    <t>5. místo</t>
  </si>
  <si>
    <t>6. místo</t>
  </si>
  <si>
    <t>1.místo</t>
  </si>
  <si>
    <t>2.místo</t>
  </si>
  <si>
    <t>3.místo</t>
  </si>
  <si>
    <t>4.místo</t>
  </si>
  <si>
    <t>5.místo</t>
  </si>
  <si>
    <t>6.místo</t>
  </si>
  <si>
    <t>14:12</t>
  </si>
  <si>
    <t>14:36</t>
  </si>
  <si>
    <t>14:24</t>
  </si>
  <si>
    <t>14:48</t>
  </si>
  <si>
    <t>16:00</t>
  </si>
  <si>
    <t>15:12</t>
  </si>
  <si>
    <t>15:24</t>
  </si>
  <si>
    <t>15:36</t>
  </si>
  <si>
    <t>15:48</t>
  </si>
  <si>
    <t>7.místo</t>
  </si>
  <si>
    <t>5 - 8</t>
  </si>
  <si>
    <t>9 - 13</t>
  </si>
  <si>
    <t>Hyeny</t>
  </si>
  <si>
    <t>Mako Litvínov</t>
  </si>
  <si>
    <t>FCH Most</t>
  </si>
  <si>
    <t>Real Most</t>
  </si>
  <si>
    <t xml:space="preserve">FOSY </t>
  </si>
  <si>
    <t>Kralda team</t>
  </si>
  <si>
    <t>Partizan Most</t>
  </si>
  <si>
    <t>Sp.Chomutov U-18</t>
  </si>
  <si>
    <t>Gamblers Most</t>
  </si>
  <si>
    <t>Kopisty</t>
  </si>
  <si>
    <t>Wings</t>
  </si>
  <si>
    <t>St.garda H.Jiřetín</t>
  </si>
  <si>
    <t xml:space="preserve">st.garda FCH </t>
  </si>
  <si>
    <t>penalty</t>
  </si>
  <si>
    <t>16:20</t>
  </si>
  <si>
    <t>16:40</t>
  </si>
  <si>
    <t>17:00</t>
  </si>
  <si>
    <t>17:20</t>
  </si>
  <si>
    <t>17:40</t>
  </si>
  <si>
    <t>18:00</t>
  </si>
  <si>
    <t>18:20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</si>
</sst>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180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10" borderId="15" xfId="0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0" fillId="3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8" fillId="32" borderId="46" xfId="0" applyFont="1" applyFill="1" applyBorder="1" applyAlignment="1">
      <alignment horizontal="center" vertical="center"/>
    </xf>
    <xf numFmtId="0" fontId="0" fillId="32" borderId="45" xfId="0" applyFill="1" applyBorder="1" applyAlignment="1" applyProtection="1">
      <alignment horizontal="center" vertical="center"/>
      <protection locked="0"/>
    </xf>
    <xf numFmtId="0" fontId="0" fillId="32" borderId="45" xfId="0" applyFill="1" applyBorder="1" applyAlignment="1" applyProtection="1">
      <alignment/>
      <protection locked="0"/>
    </xf>
    <xf numFmtId="0" fontId="0" fillId="32" borderId="45" xfId="0" applyFill="1" applyBorder="1" applyAlignment="1" applyProtection="1">
      <alignment horizontal="left"/>
      <protection locked="0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47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0" fillId="10" borderId="23" xfId="0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34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35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180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10" borderId="28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32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5" xfId="0" applyFont="1" applyFill="1" applyBorder="1" applyAlignment="1" applyProtection="1">
      <alignment horizontal="center" vertical="center"/>
      <protection locked="0"/>
    </xf>
    <xf numFmtId="0" fontId="8" fillId="10" borderId="28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10" borderId="34" xfId="0" applyFill="1" applyBorder="1" applyAlignment="1" applyProtection="1">
      <alignment horizontal="center" vertical="center"/>
      <protection locked="0"/>
    </xf>
    <xf numFmtId="0" fontId="8" fillId="32" borderId="6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9" fillId="35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1" fillId="0" borderId="37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center" vertical="center"/>
    </xf>
    <xf numFmtId="0" fontId="8" fillId="10" borderId="23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65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66" xfId="0" applyFont="1" applyFill="1" applyBorder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63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0" fontId="5" fillId="38" borderId="69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  <xf numFmtId="0" fontId="5" fillId="38" borderId="70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8" fillId="32" borderId="76" xfId="0" applyFont="1" applyFill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32" borderId="77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8" fillId="32" borderId="76" xfId="0" applyFont="1" applyFill="1" applyBorder="1" applyAlignment="1">
      <alignment horizontal="center" vertical="center" wrapText="1"/>
    </xf>
    <xf numFmtId="0" fontId="8" fillId="32" borderId="7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_2006_hokej_PP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program"/>
      <sheetName val="skupiny"/>
      <sheetName val="play-o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7109375" style="23" customWidth="1"/>
    <col min="2" max="2" width="36.8515625" style="0" customWidth="1"/>
  </cols>
  <sheetData>
    <row r="3" spans="1:2" ht="21" thickBot="1">
      <c r="A3" s="170" t="s">
        <v>21</v>
      </c>
      <c r="B3" s="170"/>
    </row>
    <row r="4" spans="1:2" ht="19.5" customHeight="1">
      <c r="A4" s="24">
        <v>1</v>
      </c>
      <c r="B4" s="107" t="s">
        <v>84</v>
      </c>
    </row>
    <row r="5" spans="1:2" ht="19.5" customHeight="1">
      <c r="A5" s="25">
        <v>2</v>
      </c>
      <c r="B5" s="108" t="s">
        <v>85</v>
      </c>
    </row>
    <row r="6" spans="1:2" ht="19.5" customHeight="1">
      <c r="A6" s="25">
        <v>3</v>
      </c>
      <c r="B6" s="108" t="s">
        <v>86</v>
      </c>
    </row>
    <row r="7" spans="1:2" ht="19.5" customHeight="1">
      <c r="A7" s="25">
        <v>4</v>
      </c>
      <c r="B7" s="108" t="s">
        <v>87</v>
      </c>
    </row>
    <row r="8" spans="1:2" ht="19.5" customHeight="1">
      <c r="A8" s="25">
        <v>5</v>
      </c>
      <c r="B8" s="108" t="s">
        <v>88</v>
      </c>
    </row>
    <row r="9" spans="1:2" ht="19.5" customHeight="1">
      <c r="A9" s="25">
        <v>6</v>
      </c>
      <c r="B9" s="108" t="s">
        <v>89</v>
      </c>
    </row>
    <row r="10" spans="1:2" ht="19.5" customHeight="1">
      <c r="A10" s="25">
        <v>7</v>
      </c>
      <c r="B10" s="108" t="s">
        <v>90</v>
      </c>
    </row>
    <row r="11" spans="1:2" ht="19.5" customHeight="1">
      <c r="A11" s="25">
        <v>8</v>
      </c>
      <c r="B11" s="108" t="s">
        <v>91</v>
      </c>
    </row>
    <row r="12" spans="1:2" ht="19.5" customHeight="1">
      <c r="A12" s="25">
        <v>9</v>
      </c>
      <c r="B12" s="108" t="s">
        <v>92</v>
      </c>
    </row>
    <row r="13" spans="1:2" ht="19.5" customHeight="1">
      <c r="A13" s="25">
        <v>10</v>
      </c>
      <c r="B13" s="108" t="s">
        <v>93</v>
      </c>
    </row>
    <row r="14" spans="1:2" ht="19.5" customHeight="1">
      <c r="A14" s="25">
        <v>11</v>
      </c>
      <c r="B14" s="108" t="s">
        <v>94</v>
      </c>
    </row>
    <row r="15" spans="1:2" ht="19.5" customHeight="1">
      <c r="A15" s="25">
        <v>12</v>
      </c>
      <c r="B15" s="108" t="s">
        <v>95</v>
      </c>
    </row>
    <row r="16" spans="1:2" ht="19.5" customHeight="1">
      <c r="A16" s="25">
        <v>13</v>
      </c>
      <c r="B16" s="168" t="s">
        <v>96</v>
      </c>
    </row>
  </sheetData>
  <sheetProtection/>
  <mergeCells count="1"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4">
      <selection activeCell="B51" sqref="B51"/>
    </sheetView>
  </sheetViews>
  <sheetFormatPr defaultColWidth="9.140625" defaultRowHeight="12.75"/>
  <cols>
    <col min="1" max="1" width="6.140625" style="0" customWidth="1"/>
    <col min="3" max="4" width="30.7109375" style="0" customWidth="1"/>
    <col min="5" max="5" width="6.7109375" style="0" customWidth="1"/>
    <col min="6" max="6" width="1.28515625" style="0" customWidth="1"/>
    <col min="7" max="7" width="6.7109375" style="0" customWidth="1"/>
    <col min="8" max="8" width="9.140625" style="34" customWidth="1"/>
    <col min="9" max="9" width="11.28125" style="0" hidden="1" customWidth="1"/>
    <col min="10" max="10" width="0" style="0" hidden="1" customWidth="1"/>
    <col min="11" max="11" width="21.57421875" style="0" hidden="1" customWidth="1"/>
    <col min="12" max="12" width="23.28125" style="0" hidden="1" customWidth="1"/>
    <col min="13" max="20" width="0" style="0" hidden="1" customWidth="1"/>
  </cols>
  <sheetData>
    <row r="1" spans="1:7" ht="55.5" thickBot="1" thickTop="1">
      <c r="A1" s="1" t="s">
        <v>2</v>
      </c>
      <c r="B1" s="183" t="s">
        <v>3</v>
      </c>
      <c r="C1" s="184"/>
      <c r="D1" s="185"/>
      <c r="E1" s="186" t="s">
        <v>0</v>
      </c>
      <c r="F1" s="187"/>
      <c r="G1" s="188"/>
    </row>
    <row r="2" spans="1:11" ht="21" thickTop="1">
      <c r="A2" s="2">
        <v>1</v>
      </c>
      <c r="B2" s="3" t="s">
        <v>5</v>
      </c>
      <c r="C2" s="109" t="str">
        <f>Týmy!$B$4</f>
        <v>Hyeny</v>
      </c>
      <c r="D2" s="110" t="str">
        <f>Týmy!$B$5</f>
        <v>Mako Litvínov</v>
      </c>
      <c r="E2" s="12">
        <v>0</v>
      </c>
      <c r="F2" s="13" t="s">
        <v>1</v>
      </c>
      <c r="G2" s="20">
        <v>2</v>
      </c>
      <c r="J2" s="34"/>
      <c r="K2" s="34"/>
    </row>
    <row r="3" spans="1:11" ht="20.25">
      <c r="A3" s="4">
        <v>3</v>
      </c>
      <c r="B3" s="5" t="s">
        <v>24</v>
      </c>
      <c r="C3" s="111" t="str">
        <f>Týmy!$B$6</f>
        <v>FCH Most</v>
      </c>
      <c r="D3" s="112" t="str">
        <f>Týmy!$B$7</f>
        <v>Real Most</v>
      </c>
      <c r="E3" s="15">
        <v>3</v>
      </c>
      <c r="F3" s="16" t="s">
        <v>1</v>
      </c>
      <c r="G3" s="21">
        <v>0</v>
      </c>
      <c r="J3" s="34"/>
      <c r="K3" s="34"/>
    </row>
    <row r="4" spans="1:11" ht="20.25">
      <c r="A4" s="4">
        <v>5</v>
      </c>
      <c r="B4" s="5" t="s">
        <v>26</v>
      </c>
      <c r="C4" s="111" t="str">
        <f>Týmy!$B$8</f>
        <v>FOSY </v>
      </c>
      <c r="D4" s="112" t="str">
        <f>Týmy!$B$9</f>
        <v>Kralda team</v>
      </c>
      <c r="E4" s="15">
        <v>0</v>
      </c>
      <c r="F4" s="16" t="s">
        <v>1</v>
      </c>
      <c r="G4" s="21">
        <v>1</v>
      </c>
      <c r="J4" s="34"/>
      <c r="K4" s="34"/>
    </row>
    <row r="5" spans="1:11" ht="20.25">
      <c r="A5" s="4">
        <v>7</v>
      </c>
      <c r="B5" s="5" t="s">
        <v>27</v>
      </c>
      <c r="C5" s="111" t="str">
        <f>Týmy!$B$4</f>
        <v>Hyeny</v>
      </c>
      <c r="D5" s="112" t="str">
        <f>Týmy!$B$6</f>
        <v>FCH Most</v>
      </c>
      <c r="E5" s="15">
        <v>0</v>
      </c>
      <c r="F5" s="16" t="s">
        <v>1</v>
      </c>
      <c r="G5" s="21">
        <v>2</v>
      </c>
      <c r="J5" s="34"/>
      <c r="K5" s="34"/>
    </row>
    <row r="6" spans="1:11" ht="20.25">
      <c r="A6" s="4">
        <v>9</v>
      </c>
      <c r="B6" s="5" t="s">
        <v>29</v>
      </c>
      <c r="C6" s="111" t="str">
        <f>Týmy!$B$5</f>
        <v>Mako Litvínov</v>
      </c>
      <c r="D6" s="112" t="str">
        <f>Týmy!$B$7</f>
        <v>Real Most</v>
      </c>
      <c r="E6" s="15">
        <v>1</v>
      </c>
      <c r="F6" s="16" t="s">
        <v>1</v>
      </c>
      <c r="G6" s="21">
        <v>1</v>
      </c>
      <c r="J6" s="34"/>
      <c r="K6" s="34"/>
    </row>
    <row r="7" spans="1:11" ht="20.25">
      <c r="A7" s="4">
        <v>11</v>
      </c>
      <c r="B7" s="5" t="s">
        <v>6</v>
      </c>
      <c r="C7" s="111" t="str">
        <f>Týmy!$B$4</f>
        <v>Hyeny</v>
      </c>
      <c r="D7" s="112" t="str">
        <f>Týmy!$B$8</f>
        <v>FOSY </v>
      </c>
      <c r="E7" s="15">
        <v>3</v>
      </c>
      <c r="F7" s="16" t="s">
        <v>1</v>
      </c>
      <c r="G7" s="21">
        <v>2</v>
      </c>
      <c r="J7" s="34"/>
      <c r="K7" s="34"/>
    </row>
    <row r="8" spans="1:11" ht="20.25">
      <c r="A8" s="4">
        <v>14</v>
      </c>
      <c r="B8" s="5" t="s">
        <v>33</v>
      </c>
      <c r="C8" s="111" t="str">
        <f>Týmy!$B$5</f>
        <v>Mako Litvínov</v>
      </c>
      <c r="D8" s="112" t="str">
        <f>Týmy!$B$9</f>
        <v>Kralda team</v>
      </c>
      <c r="E8" s="15">
        <v>0</v>
      </c>
      <c r="F8" s="16" t="s">
        <v>1</v>
      </c>
      <c r="G8" s="21">
        <v>1</v>
      </c>
      <c r="J8" s="34"/>
      <c r="K8" s="34"/>
    </row>
    <row r="9" spans="1:11" ht="20.25">
      <c r="A9" s="4">
        <v>17</v>
      </c>
      <c r="B9" s="5" t="s">
        <v>35</v>
      </c>
      <c r="C9" s="111" t="str">
        <f>Týmy!$B$6</f>
        <v>FCH Most</v>
      </c>
      <c r="D9" s="112" t="str">
        <f>Týmy!$B$8</f>
        <v>FOSY </v>
      </c>
      <c r="E9" s="15">
        <v>3</v>
      </c>
      <c r="F9" s="16" t="s">
        <v>1</v>
      </c>
      <c r="G9" s="21">
        <v>0</v>
      </c>
      <c r="J9" s="34"/>
      <c r="K9" s="34"/>
    </row>
    <row r="10" spans="1:11" ht="20.25">
      <c r="A10" s="4">
        <v>20</v>
      </c>
      <c r="B10" s="5" t="s">
        <v>38</v>
      </c>
      <c r="C10" s="111" t="str">
        <f>Týmy!$B$4</f>
        <v>Hyeny</v>
      </c>
      <c r="D10" s="112" t="str">
        <f>Týmy!$B$7</f>
        <v>Real Most</v>
      </c>
      <c r="E10" s="15">
        <v>3</v>
      </c>
      <c r="F10" s="16" t="s">
        <v>1</v>
      </c>
      <c r="G10" s="21">
        <v>1</v>
      </c>
      <c r="J10" s="34"/>
      <c r="K10" s="34"/>
    </row>
    <row r="11" spans="1:11" ht="20.25">
      <c r="A11" s="4">
        <v>23</v>
      </c>
      <c r="B11" s="5" t="s">
        <v>40</v>
      </c>
      <c r="C11" s="111" t="str">
        <f>Týmy!$B$5</f>
        <v>Mako Litvínov</v>
      </c>
      <c r="D11" s="112" t="str">
        <f>Týmy!$B$6</f>
        <v>FCH Most</v>
      </c>
      <c r="E11" s="15">
        <v>1</v>
      </c>
      <c r="F11" s="16" t="s">
        <v>1</v>
      </c>
      <c r="G11" s="21">
        <v>2</v>
      </c>
      <c r="J11" s="34"/>
      <c r="K11" s="34"/>
    </row>
    <row r="12" spans="1:11" ht="20.25">
      <c r="A12" s="4">
        <v>26</v>
      </c>
      <c r="B12" s="5" t="s">
        <v>12</v>
      </c>
      <c r="C12" s="111" t="str">
        <f>Týmy!$B$7</f>
        <v>Real Most</v>
      </c>
      <c r="D12" s="112" t="str">
        <f>Týmy!$B$9</f>
        <v>Kralda team</v>
      </c>
      <c r="E12" s="15">
        <v>1</v>
      </c>
      <c r="F12" s="16" t="s">
        <v>1</v>
      </c>
      <c r="G12" s="21">
        <v>0</v>
      </c>
      <c r="J12" s="34"/>
      <c r="K12" s="34"/>
    </row>
    <row r="13" spans="1:11" ht="20.25">
      <c r="A13" s="4">
        <v>29</v>
      </c>
      <c r="B13" s="5" t="s">
        <v>73</v>
      </c>
      <c r="C13" s="111" t="str">
        <f>Týmy!$B$5</f>
        <v>Mako Litvínov</v>
      </c>
      <c r="D13" s="112" t="str">
        <f>Týmy!$B$8</f>
        <v>FOSY </v>
      </c>
      <c r="E13" s="15">
        <v>1</v>
      </c>
      <c r="F13" s="16" t="s">
        <v>1</v>
      </c>
      <c r="G13" s="21">
        <v>0</v>
      </c>
      <c r="J13" s="34"/>
      <c r="K13" s="34"/>
    </row>
    <row r="14" spans="1:11" ht="20.25">
      <c r="A14" s="4">
        <v>32</v>
      </c>
      <c r="B14" s="36" t="s">
        <v>77</v>
      </c>
      <c r="C14" s="111" t="str">
        <f>Týmy!$B$4</f>
        <v>Hyeny</v>
      </c>
      <c r="D14" s="112" t="str">
        <f>Týmy!$B$9</f>
        <v>Kralda team</v>
      </c>
      <c r="E14" s="15">
        <v>0</v>
      </c>
      <c r="F14" s="16" t="s">
        <v>1</v>
      </c>
      <c r="G14" s="21">
        <v>0</v>
      </c>
      <c r="J14" s="34"/>
      <c r="K14" s="34"/>
    </row>
    <row r="15" spans="1:11" ht="20.25">
      <c r="A15" s="4">
        <v>35</v>
      </c>
      <c r="B15" s="36" t="s">
        <v>80</v>
      </c>
      <c r="C15" s="111" t="str">
        <f>Týmy!$B$7</f>
        <v>Real Most</v>
      </c>
      <c r="D15" s="112" t="str">
        <f>Týmy!$B$8</f>
        <v>FOSY </v>
      </c>
      <c r="E15" s="15">
        <v>1</v>
      </c>
      <c r="F15" s="16" t="s">
        <v>1</v>
      </c>
      <c r="G15" s="21">
        <v>1</v>
      </c>
      <c r="J15" s="34"/>
      <c r="K15" s="34"/>
    </row>
    <row r="16" spans="1:11" ht="21" thickBot="1">
      <c r="A16" s="42">
        <v>36</v>
      </c>
      <c r="B16" s="43" t="s">
        <v>76</v>
      </c>
      <c r="C16" s="113" t="str">
        <f>Týmy!$B$6</f>
        <v>FCH Most</v>
      </c>
      <c r="D16" s="166" t="str">
        <f>Týmy!$B$9</f>
        <v>Kralda team</v>
      </c>
      <c r="E16" s="18">
        <v>0</v>
      </c>
      <c r="F16" s="19" t="s">
        <v>1</v>
      </c>
      <c r="G16" s="22">
        <v>3</v>
      </c>
      <c r="J16" s="34"/>
      <c r="K16" s="34"/>
    </row>
    <row r="17" spans="1:8" s="34" customFormat="1" ht="21.75" thickBot="1" thickTop="1">
      <c r="A17" s="74"/>
      <c r="B17" s="75"/>
      <c r="C17" s="74"/>
      <c r="D17" s="74"/>
      <c r="E17" s="74"/>
      <c r="F17" s="76"/>
      <c r="G17" s="74"/>
      <c r="H17" s="77"/>
    </row>
    <row r="18" spans="1:7" ht="55.5" thickBot="1" thickTop="1">
      <c r="A18" s="1" t="s">
        <v>2</v>
      </c>
      <c r="B18" s="183" t="s">
        <v>4</v>
      </c>
      <c r="C18" s="184"/>
      <c r="D18" s="185"/>
      <c r="E18" s="189" t="s">
        <v>0</v>
      </c>
      <c r="F18" s="190"/>
      <c r="G18" s="191"/>
    </row>
    <row r="19" spans="1:7" ht="21" thickTop="1">
      <c r="A19" s="40">
        <v>2</v>
      </c>
      <c r="B19" s="41" t="s">
        <v>23</v>
      </c>
      <c r="C19" s="127" t="str">
        <f>Týmy!$B$10</f>
        <v>Partizan Most</v>
      </c>
      <c r="D19" s="128" t="str">
        <f>Týmy!$B$11</f>
        <v>Sp.Chomutov U-18</v>
      </c>
      <c r="E19" s="142">
        <v>1</v>
      </c>
      <c r="F19" s="13" t="s">
        <v>1</v>
      </c>
      <c r="G19" s="20">
        <v>0</v>
      </c>
    </row>
    <row r="20" spans="1:7" ht="20.25">
      <c r="A20" s="4">
        <v>4</v>
      </c>
      <c r="B20" s="5" t="s">
        <v>25</v>
      </c>
      <c r="C20" s="111" t="str">
        <f>Týmy!$B$12</f>
        <v>Gamblers Most</v>
      </c>
      <c r="D20" s="126" t="str">
        <f>Týmy!$B$13</f>
        <v>Kopisty</v>
      </c>
      <c r="E20" s="140">
        <v>1</v>
      </c>
      <c r="F20" s="16" t="s">
        <v>1</v>
      </c>
      <c r="G20" s="21">
        <v>0</v>
      </c>
    </row>
    <row r="21" spans="1:7" ht="20.25">
      <c r="A21" s="4">
        <v>6</v>
      </c>
      <c r="B21" s="5" t="s">
        <v>11</v>
      </c>
      <c r="C21" s="111" t="str">
        <f>Týmy!$B$14</f>
        <v>Wings</v>
      </c>
      <c r="D21" s="126" t="str">
        <f>Týmy!$B$15</f>
        <v>St.garda H.Jiřetín</v>
      </c>
      <c r="E21" s="140">
        <v>0</v>
      </c>
      <c r="F21" s="16" t="s">
        <v>1</v>
      </c>
      <c r="G21" s="21">
        <v>1</v>
      </c>
    </row>
    <row r="22" spans="1:7" ht="20.25">
      <c r="A22" s="4">
        <v>8</v>
      </c>
      <c r="B22" s="5" t="s">
        <v>28</v>
      </c>
      <c r="C22" s="111" t="str">
        <f>Týmy!$B$10</f>
        <v>Partizan Most</v>
      </c>
      <c r="D22" s="126" t="str">
        <f>Týmy!$B$16</f>
        <v>st.garda FCH </v>
      </c>
      <c r="E22" s="140">
        <v>1</v>
      </c>
      <c r="F22" s="16" t="s">
        <v>1</v>
      </c>
      <c r="G22" s="21">
        <v>0</v>
      </c>
    </row>
    <row r="23" spans="1:7" ht="20.25">
      <c r="A23" s="4">
        <v>10</v>
      </c>
      <c r="B23" s="5" t="s">
        <v>30</v>
      </c>
      <c r="C23" s="111" t="str">
        <f>Týmy!$B$11</f>
        <v>Sp.Chomutov U-18</v>
      </c>
      <c r="D23" s="126" t="str">
        <f>Týmy!$B$12</f>
        <v>Gamblers Most</v>
      </c>
      <c r="E23" s="140">
        <v>1</v>
      </c>
      <c r="F23" s="16" t="s">
        <v>1</v>
      </c>
      <c r="G23" s="21">
        <v>2</v>
      </c>
    </row>
    <row r="24" spans="1:7" ht="20.25">
      <c r="A24" s="4">
        <v>12</v>
      </c>
      <c r="B24" s="5" t="s">
        <v>31</v>
      </c>
      <c r="C24" s="111" t="str">
        <f>Týmy!$B$13</f>
        <v>Kopisty</v>
      </c>
      <c r="D24" s="126" t="str">
        <f>Týmy!$B$14</f>
        <v>Wings</v>
      </c>
      <c r="E24" s="140">
        <v>2</v>
      </c>
      <c r="F24" s="16" t="s">
        <v>1</v>
      </c>
      <c r="G24" s="21">
        <v>1</v>
      </c>
    </row>
    <row r="25" spans="1:7" ht="20.25">
      <c r="A25" s="4">
        <v>13</v>
      </c>
      <c r="B25" s="5" t="s">
        <v>32</v>
      </c>
      <c r="C25" s="111" t="str">
        <f>Týmy!$B$15</f>
        <v>St.garda H.Jiřetín</v>
      </c>
      <c r="D25" s="126" t="str">
        <f>Týmy!$B$16</f>
        <v>st.garda FCH </v>
      </c>
      <c r="E25" s="140">
        <v>0</v>
      </c>
      <c r="F25" s="16" t="s">
        <v>1</v>
      </c>
      <c r="G25" s="21">
        <v>0</v>
      </c>
    </row>
    <row r="26" spans="1:7" ht="20.25">
      <c r="A26" s="4">
        <v>15</v>
      </c>
      <c r="B26" s="5" t="s">
        <v>34</v>
      </c>
      <c r="C26" s="111" t="str">
        <f>Týmy!$B$10</f>
        <v>Partizan Most</v>
      </c>
      <c r="D26" s="126" t="str">
        <f>Týmy!$B$12</f>
        <v>Gamblers Most</v>
      </c>
      <c r="E26" s="140">
        <v>1</v>
      </c>
      <c r="F26" s="16" t="s">
        <v>1</v>
      </c>
      <c r="G26" s="21">
        <v>1</v>
      </c>
    </row>
    <row r="27" spans="1:7" ht="20.25">
      <c r="A27" s="4">
        <v>16</v>
      </c>
      <c r="B27" s="5" t="s">
        <v>7</v>
      </c>
      <c r="C27" s="111" t="str">
        <f>Týmy!$B$11</f>
        <v>Sp.Chomutov U-18</v>
      </c>
      <c r="D27" s="126" t="str">
        <f>Týmy!$B$13</f>
        <v>Kopisty</v>
      </c>
      <c r="E27" s="140">
        <v>2</v>
      </c>
      <c r="F27" s="16" t="s">
        <v>1</v>
      </c>
      <c r="G27" s="21">
        <v>2</v>
      </c>
    </row>
    <row r="28" spans="1:7" ht="20.25">
      <c r="A28" s="4">
        <v>18</v>
      </c>
      <c r="B28" s="5" t="s">
        <v>36</v>
      </c>
      <c r="C28" s="111" t="str">
        <f>Týmy!$B$14</f>
        <v>Wings</v>
      </c>
      <c r="D28" s="126" t="str">
        <f>Týmy!$B$16</f>
        <v>st.garda FCH </v>
      </c>
      <c r="E28" s="140">
        <v>0</v>
      </c>
      <c r="F28" s="16" t="s">
        <v>1</v>
      </c>
      <c r="G28" s="21">
        <v>2</v>
      </c>
    </row>
    <row r="29" spans="1:7" ht="20.25">
      <c r="A29" s="4">
        <v>19</v>
      </c>
      <c r="B29" s="5" t="s">
        <v>37</v>
      </c>
      <c r="C29" s="111" t="str">
        <f>Týmy!$B$10</f>
        <v>Partizan Most</v>
      </c>
      <c r="D29" s="126" t="str">
        <f>Týmy!$B$15</f>
        <v>St.garda H.Jiřetín</v>
      </c>
      <c r="E29" s="140">
        <v>2</v>
      </c>
      <c r="F29" s="16" t="s">
        <v>1</v>
      </c>
      <c r="G29" s="21">
        <v>0</v>
      </c>
    </row>
    <row r="30" spans="1:7" ht="20.25">
      <c r="A30" s="4">
        <v>21</v>
      </c>
      <c r="B30" s="5" t="s">
        <v>15</v>
      </c>
      <c r="C30" s="111" t="str">
        <f>Týmy!$B$11</f>
        <v>Sp.Chomutov U-18</v>
      </c>
      <c r="D30" s="126" t="str">
        <f>Týmy!$B$14</f>
        <v>Wings</v>
      </c>
      <c r="E30" s="140">
        <v>2</v>
      </c>
      <c r="F30" s="16" t="s">
        <v>1</v>
      </c>
      <c r="G30" s="21">
        <v>1</v>
      </c>
    </row>
    <row r="31" spans="1:7" ht="20.25">
      <c r="A31" s="4">
        <v>22</v>
      </c>
      <c r="B31" s="5" t="s">
        <v>39</v>
      </c>
      <c r="C31" s="111" t="str">
        <f>Týmy!$B$12</f>
        <v>Gamblers Most</v>
      </c>
      <c r="D31" s="126" t="str">
        <f>Týmy!$B$15</f>
        <v>St.garda H.Jiřetín</v>
      </c>
      <c r="E31" s="140">
        <v>3</v>
      </c>
      <c r="F31" s="16" t="s">
        <v>1</v>
      </c>
      <c r="G31" s="21">
        <v>0</v>
      </c>
    </row>
    <row r="32" spans="1:7" ht="20.25">
      <c r="A32" s="4">
        <v>24</v>
      </c>
      <c r="B32" s="5" t="s">
        <v>41</v>
      </c>
      <c r="C32" s="111" t="str">
        <f>Týmy!$B$10</f>
        <v>Partizan Most</v>
      </c>
      <c r="D32" s="126" t="str">
        <f>Týmy!$B$13</f>
        <v>Kopisty</v>
      </c>
      <c r="E32" s="140">
        <v>0</v>
      </c>
      <c r="F32" s="16" t="s">
        <v>1</v>
      </c>
      <c r="G32" s="21">
        <v>1</v>
      </c>
    </row>
    <row r="33" spans="1:7" ht="20.25">
      <c r="A33" s="4">
        <v>25</v>
      </c>
      <c r="B33" s="5" t="s">
        <v>42</v>
      </c>
      <c r="C33" s="111" t="str">
        <f>Týmy!$B$12</f>
        <v>Gamblers Most</v>
      </c>
      <c r="D33" s="126" t="str">
        <f>Týmy!$B$14</f>
        <v>Wings</v>
      </c>
      <c r="E33" s="140">
        <v>5</v>
      </c>
      <c r="F33" s="16" t="s">
        <v>1</v>
      </c>
      <c r="G33" s="21">
        <v>0</v>
      </c>
    </row>
    <row r="34" spans="1:7" ht="20.25">
      <c r="A34" s="4">
        <v>27</v>
      </c>
      <c r="B34" s="5" t="s">
        <v>72</v>
      </c>
      <c r="C34" s="111" t="str">
        <f>Týmy!$B$11</f>
        <v>Sp.Chomutov U-18</v>
      </c>
      <c r="D34" s="126" t="str">
        <f>Týmy!$B$15</f>
        <v>St.garda H.Jiřetín</v>
      </c>
      <c r="E34" s="140">
        <v>2</v>
      </c>
      <c r="F34" s="16" t="s">
        <v>1</v>
      </c>
      <c r="G34" s="21">
        <v>1</v>
      </c>
    </row>
    <row r="35" spans="1:7" ht="20.25">
      <c r="A35" s="4">
        <v>28</v>
      </c>
      <c r="B35" s="5" t="s">
        <v>74</v>
      </c>
      <c r="C35" s="111" t="str">
        <f>Týmy!$B$13</f>
        <v>Kopisty</v>
      </c>
      <c r="D35" s="126" t="str">
        <f>Týmy!$B$16</f>
        <v>st.garda FCH </v>
      </c>
      <c r="E35" s="140">
        <v>1</v>
      </c>
      <c r="F35" s="16" t="s">
        <v>1</v>
      </c>
      <c r="G35" s="21">
        <v>0</v>
      </c>
    </row>
    <row r="36" spans="1:7" ht="20.25">
      <c r="A36" s="123">
        <v>30</v>
      </c>
      <c r="B36" s="124" t="s">
        <v>75</v>
      </c>
      <c r="C36" s="111" t="str">
        <f>Týmy!$B$10</f>
        <v>Partizan Most</v>
      </c>
      <c r="D36" s="126" t="str">
        <f>Týmy!$B$14</f>
        <v>Wings</v>
      </c>
      <c r="E36" s="140">
        <v>0</v>
      </c>
      <c r="F36" s="16" t="s">
        <v>1</v>
      </c>
      <c r="G36" s="21">
        <v>3</v>
      </c>
    </row>
    <row r="37" spans="1:7" ht="20.25">
      <c r="A37" s="4">
        <v>31</v>
      </c>
      <c r="B37" s="36" t="s">
        <v>13</v>
      </c>
      <c r="C37" s="111" t="str">
        <f>Týmy!$B$12</f>
        <v>Gamblers Most</v>
      </c>
      <c r="D37" s="126" t="str">
        <f>Týmy!$B$16</f>
        <v>st.garda FCH </v>
      </c>
      <c r="E37" s="140">
        <v>1</v>
      </c>
      <c r="F37" s="16" t="s">
        <v>1</v>
      </c>
      <c r="G37" s="21">
        <v>1</v>
      </c>
    </row>
    <row r="38" spans="1:7" ht="20.25">
      <c r="A38" s="4">
        <v>33</v>
      </c>
      <c r="B38" s="36" t="s">
        <v>78</v>
      </c>
      <c r="C38" s="111" t="str">
        <f>Týmy!$B$13</f>
        <v>Kopisty</v>
      </c>
      <c r="D38" s="126" t="str">
        <f>Týmy!$B$15</f>
        <v>St.garda H.Jiřetín</v>
      </c>
      <c r="E38" s="140">
        <v>0</v>
      </c>
      <c r="F38" s="16" t="s">
        <v>1</v>
      </c>
      <c r="G38" s="21">
        <v>0</v>
      </c>
    </row>
    <row r="39" spans="1:7" ht="21" thickBot="1">
      <c r="A39" s="42">
        <v>34</v>
      </c>
      <c r="B39" s="37" t="s">
        <v>79</v>
      </c>
      <c r="C39" s="113" t="str">
        <f>Týmy!$B$11</f>
        <v>Sp.Chomutov U-18</v>
      </c>
      <c r="D39" s="129" t="str">
        <f>Týmy!$B$16</f>
        <v>st.garda FCH </v>
      </c>
      <c r="E39" s="141">
        <v>0</v>
      </c>
      <c r="F39" s="138" t="s">
        <v>1</v>
      </c>
      <c r="G39" s="139">
        <v>0</v>
      </c>
    </row>
    <row r="40" spans="1:7" ht="55.5" thickBot="1" thickTop="1">
      <c r="A40" s="125" t="s">
        <v>2</v>
      </c>
      <c r="B40" s="177" t="s">
        <v>8</v>
      </c>
      <c r="C40" s="178"/>
      <c r="D40" s="179"/>
      <c r="E40" s="192" t="s">
        <v>0</v>
      </c>
      <c r="F40" s="193"/>
      <c r="G40" s="194"/>
    </row>
    <row r="41" spans="1:12" ht="21" thickTop="1">
      <c r="A41" s="30">
        <v>35</v>
      </c>
      <c r="B41" s="35" t="s">
        <v>76</v>
      </c>
      <c r="C41" s="109" t="str">
        <f>Tabulky!$BW$4</f>
        <v>FCH Most</v>
      </c>
      <c r="D41" s="110" t="str">
        <f>Tabulky!$BY$26</f>
        <v>Sp.Chomutov U-18</v>
      </c>
      <c r="E41" s="44">
        <v>1</v>
      </c>
      <c r="F41" s="45" t="s">
        <v>1</v>
      </c>
      <c r="G41" s="14">
        <v>3</v>
      </c>
      <c r="K41" s="102" t="str">
        <f>IF(COUNTBLANK(E41:G41)=0,IF(E41&gt;G41,C41,IF(E41&lt;G41,D41,"vítěz")),"vítěz")</f>
        <v>Sp.Chomutov U-18</v>
      </c>
      <c r="L41" s="102" t="str">
        <f>IF(COUNTBLANK(E41:G41)=0,IF(E41&lt;G41,C41,IF(E41&gt;G41,D41,"poražený ze čtvrtfinále 1")),"poražený ze čtvrtfinále 1")</f>
        <v>FCH Most</v>
      </c>
    </row>
    <row r="42" spans="1:12" ht="20.25">
      <c r="A42" s="31">
        <v>36</v>
      </c>
      <c r="B42" s="36" t="s">
        <v>98</v>
      </c>
      <c r="C42" s="111" t="str">
        <f>Tabulky!$BW$5</f>
        <v>Kralda team</v>
      </c>
      <c r="D42" s="112" t="str">
        <f>Tabulky!$BY$25</f>
        <v>Partizan Most</v>
      </c>
      <c r="E42" s="46">
        <v>0</v>
      </c>
      <c r="F42" s="47" t="s">
        <v>1</v>
      </c>
      <c r="G42" s="17">
        <v>1</v>
      </c>
      <c r="K42" s="102" t="str">
        <f>IF(COUNTBLANK(E42:G42)=0,IF(E42&gt;G42,C42,IF(E42&lt;G42,D42,"vítěz")),"vítěz")</f>
        <v>Partizan Most</v>
      </c>
      <c r="L42" s="102" t="str">
        <f>IF(COUNTBLANK(E42:G42)=0,IF(E42&lt;G42,C42,IF(E42&gt;G42,D42,"poražený ze čtvrtfinále 1")),"poražený ze čtvrtfinále 2")</f>
        <v>Kralda team</v>
      </c>
    </row>
    <row r="43" spans="1:12" ht="20.25">
      <c r="A43" s="31">
        <v>37</v>
      </c>
      <c r="B43" s="36" t="s">
        <v>99</v>
      </c>
      <c r="C43" s="111" t="str">
        <f>Tabulky!$BW$6</f>
        <v>Mako Litvínov</v>
      </c>
      <c r="D43" s="112" t="str">
        <f>Tabulky!$BY$24</f>
        <v>Kopisty</v>
      </c>
      <c r="E43" s="46">
        <v>6</v>
      </c>
      <c r="F43" s="47" t="s">
        <v>1</v>
      </c>
      <c r="G43" s="17">
        <v>2</v>
      </c>
      <c r="K43" s="102" t="str">
        <f>IF(COUNTBLANK(E43:G43)=0,IF(E43&gt;G43,C43,IF(E43&lt;G43,D43,"vítěz")),"vítěz")</f>
        <v>Mako Litvínov</v>
      </c>
      <c r="L43" s="102" t="str">
        <f>IF(COUNTBLANK(E43:G43)=0,IF(E43&lt;G43,C43,IF(E43&gt;G43,D43,"poražený ze čtvrtfinále 1")),"poražený ze čtvrtfinále 3")</f>
        <v>Kopisty</v>
      </c>
    </row>
    <row r="44" spans="1:12" ht="21" thickBot="1">
      <c r="A44" s="32">
        <v>38</v>
      </c>
      <c r="B44" s="37" t="s">
        <v>100</v>
      </c>
      <c r="C44" s="113" t="str">
        <f>Tabulky!$BW$7</f>
        <v>Hyeny</v>
      </c>
      <c r="D44" s="112" t="str">
        <f>Tabulky!$BY$23</f>
        <v>Gamblers Most</v>
      </c>
      <c r="E44" s="48">
        <v>1</v>
      </c>
      <c r="F44" s="49" t="s">
        <v>1</v>
      </c>
      <c r="G44" s="50">
        <v>0</v>
      </c>
      <c r="K44" s="102" t="str">
        <f>IF(COUNTBLANK(E44:G44)=0,IF(E44&gt;G44,C44,IF(E44&lt;G44,D44,"vítěz")),"vítěz")</f>
        <v>Hyeny</v>
      </c>
      <c r="L44" s="102" t="str">
        <f>IF(COUNTBLANK(E44:G44)=0,IF(E44&lt;G44,C44,IF(E44&gt;G44,D44,"poražený ze čtvrtfinále 1")),"poražený ze čtvrtfinále 4")</f>
        <v>Gamblers Most</v>
      </c>
    </row>
    <row r="45" spans="1:12" ht="55.5" thickBot="1" thickTop="1">
      <c r="A45" s="29" t="s">
        <v>2</v>
      </c>
      <c r="B45" s="180" t="s">
        <v>9</v>
      </c>
      <c r="C45" s="181"/>
      <c r="D45" s="182"/>
      <c r="E45" s="195" t="s">
        <v>0</v>
      </c>
      <c r="F45" s="196"/>
      <c r="G45" s="197"/>
      <c r="K45" s="103"/>
      <c r="L45" s="103"/>
    </row>
    <row r="46" spans="1:12" ht="21" thickTop="1">
      <c r="A46" s="30">
        <v>39</v>
      </c>
      <c r="B46" s="35" t="s">
        <v>101</v>
      </c>
      <c r="C46" s="114" t="str">
        <f>IF(COUNTBLANK(E41:G41)=0,IF(E41&lt;G41,D41,IF(E41=G41,1,C41)),"Vítěz 1A/4B")</f>
        <v>Sp.Chomutov U-18</v>
      </c>
      <c r="D46" s="115" t="str">
        <f>IF(COUNTBLANK(E42:G42)=0,IF(E42&lt;G42,D42,IF(E42=G42,1,C42)),"Vítěz 3A/2B")</f>
        <v>Partizan Most</v>
      </c>
      <c r="E46" s="44">
        <v>1</v>
      </c>
      <c r="F46" s="45" t="s">
        <v>1</v>
      </c>
      <c r="G46" s="14">
        <v>2</v>
      </c>
      <c r="H46" s="169" t="s">
        <v>97</v>
      </c>
      <c r="K46" s="102" t="str">
        <f>IF(COUNTBLANK(E46:G46)=0,IF(E46&gt;G46,C46,IF(E46&lt;G46,D46,"vítěz")),"vítěz")</f>
        <v>Partizan Most</v>
      </c>
      <c r="L46" s="102" t="str">
        <f>IF(COUNTBLANK(E46:G46)=0,IF(E46&lt;G46,C46,IF(E46&gt;G46,D46,"poražený")),"poražený")</f>
        <v>Sp.Chomutov U-18</v>
      </c>
    </row>
    <row r="47" spans="1:12" ht="21" thickBot="1">
      <c r="A47" s="32">
        <v>40</v>
      </c>
      <c r="B47" s="37" t="s">
        <v>102</v>
      </c>
      <c r="C47" s="116" t="str">
        <f>IF(COUNTBLANK(E43:G43)=0,IF(E43&lt;G43,D43,IF(E43=G43,1,C43)),"Vítěz 4A/1B")</f>
        <v>Mako Litvínov</v>
      </c>
      <c r="D47" s="117" t="str">
        <f>IF(COUNTBLANK(E44:G44)=0,IF(E44&lt;G44,D44,IF(E44=G44,1,C44)),"Vítěz 2A/3B")</f>
        <v>Hyeny</v>
      </c>
      <c r="E47" s="48">
        <v>1</v>
      </c>
      <c r="F47" s="49" t="s">
        <v>1</v>
      </c>
      <c r="G47" s="50">
        <v>3</v>
      </c>
      <c r="K47" s="102" t="str">
        <f>IF(COUNTBLANK(E47:G47)=0,IF(E47&gt;G47,C47,IF(E47&lt;G47,D47,"vítěz")),"vítěz")</f>
        <v>Hyeny</v>
      </c>
      <c r="L47" s="102" t="str">
        <f>IF(COUNTBLANK(E47:G47)=0,IF(E47&lt;G47,C47,IF(E47&gt;G47,D47,"poražený")),"poražený")</f>
        <v>Mako Litvínov</v>
      </c>
    </row>
    <row r="48" spans="1:12" ht="55.5" thickBot="1" thickTop="1">
      <c r="A48" s="29" t="s">
        <v>2</v>
      </c>
      <c r="B48" s="171" t="s">
        <v>14</v>
      </c>
      <c r="C48" s="172"/>
      <c r="D48" s="173"/>
      <c r="E48" s="195" t="s">
        <v>0</v>
      </c>
      <c r="F48" s="196"/>
      <c r="G48" s="197"/>
      <c r="K48" s="103"/>
      <c r="L48" s="103"/>
    </row>
    <row r="49" spans="1:12" ht="21.75" thickBot="1" thickTop="1">
      <c r="A49" s="33">
        <v>41</v>
      </c>
      <c r="B49" s="38" t="s">
        <v>103</v>
      </c>
      <c r="C49" s="118" t="str">
        <f>IF(COUNTBLANK(E46:G46)=0,IF(E46&lt;G46,C46,IF(E46=G46,1,D46)),"Poražený(1A/4B-3A/2B)")</f>
        <v>Sp.Chomutov U-18</v>
      </c>
      <c r="D49" s="119" t="str">
        <f>IF(COUNTBLANK(E47:G47)=0,IF(E47&lt;G47,C47,IF(F47=H47,1,D47)),"Poražený(4A/1B-2A/3B)")</f>
        <v>Mako Litvínov</v>
      </c>
      <c r="E49" s="51">
        <v>4</v>
      </c>
      <c r="F49" s="52" t="s">
        <v>1</v>
      </c>
      <c r="G49" s="53">
        <v>0</v>
      </c>
      <c r="K49" s="102" t="str">
        <f>IF(COUNTBLANK(E49:G49)=0,IF(E49&gt;G49,C49,IF(E49&lt;G49,D49,"vítěz o 3. místo")),"vítěz o 3. místo")</f>
        <v>Sp.Chomutov U-18</v>
      </c>
      <c r="L49" s="102" t="str">
        <f>IF(COUNTBLANK(E49:G49)=0,IF(E49&lt;G49,C49,IF(E49&gt;G49,D49,"poražený o 3. místo")),"poražený o 3. místo")</f>
        <v>Mako Litvínov</v>
      </c>
    </row>
    <row r="50" spans="1:12" ht="55.5" thickBot="1" thickTop="1">
      <c r="A50" s="29" t="s">
        <v>2</v>
      </c>
      <c r="B50" s="174" t="s">
        <v>10</v>
      </c>
      <c r="C50" s="175"/>
      <c r="D50" s="176"/>
      <c r="E50" s="195" t="s">
        <v>0</v>
      </c>
      <c r="F50" s="196"/>
      <c r="G50" s="197"/>
      <c r="K50" s="103"/>
      <c r="L50" s="103"/>
    </row>
    <row r="51" spans="1:12" ht="21.75" thickBot="1" thickTop="1">
      <c r="A51" s="33">
        <v>42</v>
      </c>
      <c r="B51" s="38" t="s">
        <v>104</v>
      </c>
      <c r="C51" s="118" t="str">
        <f>IF(COUNTBLANK(E46:G46)=0,IF(E46&lt;G46,D46,IF(E46=G46,1,C46)),"Vítěz (1A/4B-3A/2B)")</f>
        <v>Partizan Most</v>
      </c>
      <c r="D51" s="119" t="str">
        <f>IF(COUNTBLANK(E47:G47)=0,IF(E47&lt;G47,D47,IF(E47=G47,1,C47)),"Vítěz (4A/1B-2A/3B)")</f>
        <v>Hyeny</v>
      </c>
      <c r="E51" s="51">
        <v>2</v>
      </c>
      <c r="F51" s="52" t="s">
        <v>1</v>
      </c>
      <c r="G51" s="53">
        <v>3</v>
      </c>
      <c r="K51" s="102" t="str">
        <f>IF(COUNTBLANK(E51:G51)=0,IF(E51&gt;G51,C51,IF(E51&lt;G51,D51,"vítěz finále")),"vítěz finále")</f>
        <v>Hyeny</v>
      </c>
      <c r="L51" s="102" t="str">
        <f>IF(COUNTBLANK(E51:G51)=0,IF(E51&lt;G51,C51,IF(E51&gt;G51,D51,"poražený z finále")),"poražený z finále")</f>
        <v>Partizan Most</v>
      </c>
    </row>
    <row r="52" spans="1:5" ht="21" thickTop="1">
      <c r="A52" s="6"/>
      <c r="B52" s="7"/>
      <c r="C52" s="6"/>
      <c r="D52" s="6"/>
      <c r="E52" s="8"/>
    </row>
  </sheetData>
  <sheetProtection/>
  <mergeCells count="12">
    <mergeCell ref="B40:D40"/>
    <mergeCell ref="B45:D45"/>
    <mergeCell ref="B1:D1"/>
    <mergeCell ref="B18:D18"/>
    <mergeCell ref="E1:G1"/>
    <mergeCell ref="E18:G18"/>
    <mergeCell ref="B48:D48"/>
    <mergeCell ref="B50:D50"/>
    <mergeCell ref="E40:G40"/>
    <mergeCell ref="E45:G45"/>
    <mergeCell ref="E48:G48"/>
    <mergeCell ref="E50:G50"/>
  </mergeCell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D8 D13:D14 D15 C6:C7 C12 C23 D30:D31 C32 D36 D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"/>
  <sheetViews>
    <sheetView zoomScalePageLayoutView="0" workbookViewId="0" topLeftCell="J1">
      <selection activeCell="AK6" sqref="AK6"/>
    </sheetView>
  </sheetViews>
  <sheetFormatPr defaultColWidth="9.140625" defaultRowHeight="12.75"/>
  <cols>
    <col min="1" max="1" width="2.00390625" style="0" hidden="1" customWidth="1"/>
    <col min="2" max="2" width="9.140625" style="0" hidden="1" customWidth="1"/>
    <col min="3" max="3" width="2.7109375" style="0" hidden="1" customWidth="1"/>
    <col min="4" max="4" width="1.28515625" style="133" hidden="1" customWidth="1"/>
    <col min="5" max="5" width="2.7109375" style="0" hidden="1" customWidth="1"/>
    <col min="6" max="6" width="9.140625" style="0" hidden="1" customWidth="1"/>
    <col min="7" max="7" width="5.28125" style="0" hidden="1" customWidth="1"/>
    <col min="8" max="8" width="5.7109375" style="0" hidden="1" customWidth="1"/>
    <col min="9" max="9" width="3.140625" style="0" hidden="1" customWidth="1"/>
    <col min="10" max="10" width="17.7109375" style="0" customWidth="1"/>
    <col min="11" max="11" width="7.7109375" style="0" customWidth="1"/>
    <col min="12" max="12" width="1.28515625" style="0" customWidth="1"/>
    <col min="13" max="13" width="7.7109375" style="0" customWidth="1"/>
    <col min="14" max="14" width="5.7109375" style="59" hidden="1" customWidth="1"/>
    <col min="15" max="15" width="7.7109375" style="0" customWidth="1"/>
    <col min="16" max="16" width="1.28515625" style="0" customWidth="1"/>
    <col min="17" max="17" width="7.7109375" style="0" customWidth="1"/>
    <col min="18" max="18" width="5.7109375" style="59" hidden="1" customWidth="1"/>
    <col min="19" max="19" width="7.7109375" style="0" customWidth="1"/>
    <col min="20" max="20" width="1.28515625" style="0" customWidth="1"/>
    <col min="21" max="21" width="7.7109375" style="0" customWidth="1"/>
    <col min="22" max="22" width="5.7109375" style="59" hidden="1" customWidth="1"/>
    <col min="23" max="23" width="7.7109375" style="0" customWidth="1"/>
    <col min="24" max="24" width="1.28515625" style="0" customWidth="1"/>
    <col min="25" max="25" width="7.7109375" style="0" customWidth="1"/>
    <col min="26" max="26" width="5.7109375" style="59" hidden="1" customWidth="1"/>
    <col min="27" max="27" width="7.7109375" style="0" customWidth="1"/>
    <col min="28" max="28" width="1.28515625" style="0" customWidth="1"/>
    <col min="29" max="29" width="7.7109375" style="0" customWidth="1"/>
    <col min="30" max="30" width="5.7109375" style="59" hidden="1" customWidth="1"/>
    <col min="31" max="31" width="7.7109375" style="0" customWidth="1"/>
    <col min="32" max="32" width="1.28515625" style="0" customWidth="1"/>
    <col min="33" max="33" width="7.7109375" style="0" customWidth="1"/>
    <col min="34" max="34" width="5.7109375" style="59" hidden="1" customWidth="1"/>
    <col min="35" max="35" width="7.7109375" style="59" customWidth="1"/>
    <col min="36" max="36" width="1.28515625" style="59" customWidth="1"/>
    <col min="37" max="37" width="7.7109375" style="59" customWidth="1"/>
    <col min="38" max="38" width="5.7109375" style="59" hidden="1" customWidth="1"/>
    <col min="39" max="39" width="5.7109375" style="0" customWidth="1"/>
    <col min="40" max="40" width="1.28515625" style="0" customWidth="1"/>
    <col min="41" max="41" width="5.7109375" style="0" customWidth="1"/>
    <col min="42" max="42" width="6.140625" style="0" customWidth="1"/>
    <col min="43" max="43" width="12.421875" style="0" hidden="1" customWidth="1"/>
    <col min="45" max="45" width="3.57421875" style="0" customWidth="1"/>
    <col min="46" max="52" width="3.57421875" style="0" hidden="1" customWidth="1"/>
    <col min="53" max="53" width="11.421875" style="0" hidden="1" customWidth="1"/>
    <col min="54" max="87" width="9.140625" style="0" hidden="1" customWidth="1"/>
  </cols>
  <sheetData>
    <row r="1" spans="1:83" ht="19.5" customHeight="1">
      <c r="A1" s="54"/>
      <c r="B1" s="55"/>
      <c r="C1" s="55"/>
      <c r="D1" s="131"/>
      <c r="E1" s="56"/>
      <c r="F1" s="55"/>
      <c r="G1" s="54"/>
      <c r="H1" s="54"/>
      <c r="I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19.5" customHeight="1" thickBot="1">
      <c r="A2" s="54"/>
      <c r="B2" s="61" t="s">
        <v>44</v>
      </c>
      <c r="C2" s="62"/>
      <c r="D2" s="89"/>
      <c r="E2" s="63"/>
      <c r="F2" s="62">
        <f>COUNTBLANK(C4:E18)</f>
        <v>0</v>
      </c>
      <c r="G2" s="64"/>
      <c r="H2" s="64"/>
      <c r="I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19.5" customHeight="1" thickTop="1">
      <c r="A3" s="54"/>
      <c r="B3" s="62"/>
      <c r="C3" s="62"/>
      <c r="D3" s="89"/>
      <c r="E3" s="63"/>
      <c r="F3" s="62"/>
      <c r="G3" s="64" t="s">
        <v>45</v>
      </c>
      <c r="H3" s="64" t="s">
        <v>46</v>
      </c>
      <c r="I3" s="54"/>
      <c r="J3" s="78" t="s">
        <v>19</v>
      </c>
      <c r="K3" s="213" t="str">
        <f>Týmy!$B$4</f>
        <v>Hyeny</v>
      </c>
      <c r="L3" s="214"/>
      <c r="M3" s="215"/>
      <c r="N3" s="13"/>
      <c r="O3" s="210" t="str">
        <f>Týmy!$B$5</f>
        <v>Mako Litvínov</v>
      </c>
      <c r="P3" s="211"/>
      <c r="Q3" s="212"/>
      <c r="R3" s="13"/>
      <c r="S3" s="213" t="str">
        <f>Týmy!$B$6</f>
        <v>FCH Most</v>
      </c>
      <c r="T3" s="214"/>
      <c r="U3" s="215"/>
      <c r="V3" s="13"/>
      <c r="W3" s="213" t="str">
        <f>Týmy!$B$7</f>
        <v>Real Most</v>
      </c>
      <c r="X3" s="214"/>
      <c r="Y3" s="215"/>
      <c r="Z3" s="13"/>
      <c r="AA3" s="213" t="str">
        <f>Týmy!$B$8</f>
        <v>FOSY </v>
      </c>
      <c r="AB3" s="214"/>
      <c r="AC3" s="215"/>
      <c r="AD3" s="13"/>
      <c r="AE3" s="213" t="str">
        <f>Týmy!$B$9</f>
        <v>Kralda team</v>
      </c>
      <c r="AF3" s="214"/>
      <c r="AG3" s="215"/>
      <c r="AH3" s="79"/>
      <c r="AI3" s="13"/>
      <c r="AJ3" s="13"/>
      <c r="AK3" s="13"/>
      <c r="AL3" s="13"/>
      <c r="AM3" s="213" t="s">
        <v>16</v>
      </c>
      <c r="AN3" s="214"/>
      <c r="AO3" s="215"/>
      <c r="AP3" s="79" t="s">
        <v>17</v>
      </c>
      <c r="AQ3" s="68" t="s">
        <v>47</v>
      </c>
      <c r="AR3" s="80" t="s">
        <v>18</v>
      </c>
      <c r="AS3" s="57"/>
      <c r="AT3" s="57"/>
      <c r="AU3" s="57"/>
      <c r="AV3" s="57"/>
      <c r="AW3" s="57"/>
      <c r="AX3" s="57"/>
      <c r="AY3" s="57"/>
      <c r="AZ3" s="57"/>
      <c r="BA3" s="57" t="s">
        <v>48</v>
      </c>
      <c r="BB3" s="54"/>
      <c r="BC3" s="54" t="s">
        <v>43</v>
      </c>
      <c r="BD3" s="54" t="s">
        <v>49</v>
      </c>
      <c r="BE3" s="54" t="s">
        <v>50</v>
      </c>
      <c r="BF3" s="54" t="s">
        <v>51</v>
      </c>
      <c r="BG3" s="54" t="s">
        <v>52</v>
      </c>
      <c r="BH3" s="54" t="s">
        <v>53</v>
      </c>
      <c r="BI3" s="54" t="s">
        <v>54</v>
      </c>
      <c r="BJ3" s="54" t="s">
        <v>55</v>
      </c>
      <c r="BK3" s="54" t="s">
        <v>56</v>
      </c>
      <c r="BL3" s="54" t="s">
        <v>57</v>
      </c>
      <c r="BM3" s="54" t="s">
        <v>58</v>
      </c>
      <c r="BN3" s="54" t="s">
        <v>59</v>
      </c>
      <c r="BO3" s="54"/>
      <c r="BP3" s="54" t="s">
        <v>60</v>
      </c>
      <c r="BQ3" s="54" t="s">
        <v>61</v>
      </c>
      <c r="BR3" s="54" t="s">
        <v>62</v>
      </c>
      <c r="BS3" s="54" t="s">
        <v>63</v>
      </c>
      <c r="BT3" s="54" t="s">
        <v>64</v>
      </c>
      <c r="BU3" s="54" t="s">
        <v>65</v>
      </c>
      <c r="BV3" s="54"/>
      <c r="BW3" s="54"/>
      <c r="BX3" s="54"/>
      <c r="BY3" s="54"/>
      <c r="BZ3" s="54">
        <v>1</v>
      </c>
      <c r="CA3" s="54">
        <v>2</v>
      </c>
      <c r="CB3" s="54">
        <v>3</v>
      </c>
      <c r="CC3" s="54">
        <v>4</v>
      </c>
      <c r="CD3" s="54">
        <v>5</v>
      </c>
      <c r="CE3" s="54">
        <v>6</v>
      </c>
    </row>
    <row r="4" spans="1:83" ht="19.5" customHeight="1">
      <c r="A4" s="54"/>
      <c r="B4" s="65" t="str">
        <f>Týmy!$B$4</f>
        <v>Hyeny</v>
      </c>
      <c r="C4" s="62">
        <f>$O$4</f>
        <v>0</v>
      </c>
      <c r="D4" s="89" t="s">
        <v>1</v>
      </c>
      <c r="E4" s="63">
        <f>$Q$4</f>
        <v>2</v>
      </c>
      <c r="F4" s="65" t="str">
        <f>Týmy!$B$5</f>
        <v>Mako Litvínov</v>
      </c>
      <c r="G4" s="64">
        <f>IF(COUNTBLANK(C4:E4)&gt;0,0,IF(C4&gt;E4,3,IF(C4=E4,1,0)))</f>
        <v>0</v>
      </c>
      <c r="H4" s="64">
        <f>IF(COUNTBLANK(C4:E4)&gt;0,0,IF(C4&lt;E4,3,IF(C4=E4,1,0)))</f>
        <v>3</v>
      </c>
      <c r="I4" s="54"/>
      <c r="J4" s="81" t="str">
        <f>Týmy!$B$4</f>
        <v>Hyeny</v>
      </c>
      <c r="K4" s="198" t="s">
        <v>19</v>
      </c>
      <c r="L4" s="199"/>
      <c r="M4" s="200"/>
      <c r="N4" s="121"/>
      <c r="O4" s="11">
        <f>IF(ISBLANK(Výsledky!E2),"",Výsledky!E2)</f>
        <v>0</v>
      </c>
      <c r="P4" s="9" t="s">
        <v>1</v>
      </c>
      <c r="Q4" s="10">
        <f>IF(ISBLANK(Výsledky!G2),"",Výsledky!G2)</f>
        <v>2</v>
      </c>
      <c r="R4" s="60">
        <f>IF(COUNTBLANK(O4:Q4)=0,IF(O4&lt;Q4,0,IF(O4=Q4,1,3)),"")</f>
        <v>0</v>
      </c>
      <c r="S4" s="11">
        <f>IF(ISBLANK(Výsledky!E5),"",Výsledky!E5)</f>
        <v>0</v>
      </c>
      <c r="T4" s="9" t="s">
        <v>1</v>
      </c>
      <c r="U4" s="10">
        <f>IF(ISBLANK(Výsledky!G5),"",Výsledky!G5)</f>
        <v>2</v>
      </c>
      <c r="V4" s="60">
        <f>IF(COUNTBLANK(S4:U4)=0,IF(S4&lt;U4,0,IF(S4=U4,1,3)),"")</f>
        <v>0</v>
      </c>
      <c r="W4" s="11">
        <f>IF(ISBLANK(Výsledky!E10),"",Výsledky!E10)</f>
        <v>3</v>
      </c>
      <c r="X4" s="9" t="s">
        <v>1</v>
      </c>
      <c r="Y4" s="10">
        <f>IF(ISBLANK(Výsledky!G10),"",Výsledky!G10)</f>
        <v>1</v>
      </c>
      <c r="Z4" s="60">
        <f>IF(COUNTBLANK(W4:Y4)=0,IF(W4&lt;Y4,0,IF(W4=Y4,1,3)),"")</f>
        <v>3</v>
      </c>
      <c r="AA4" s="11">
        <f>IF(ISBLANK(Výsledky!E7),"",Výsledky!E7)</f>
        <v>3</v>
      </c>
      <c r="AB4" s="9" t="s">
        <v>1</v>
      </c>
      <c r="AC4" s="10">
        <f>IF(ISBLANK(Výsledky!G7),"",Výsledky!G7)</f>
        <v>2</v>
      </c>
      <c r="AD4" s="60">
        <f>IF(COUNTBLANK(AA4:AC4)=0,IF(AA4&lt;AC4,0,IF(AA4=AC4,1,3)),"")</f>
        <v>3</v>
      </c>
      <c r="AE4" s="11">
        <f>IF(ISBLANK(Výsledky!E14),"",Výsledky!E14)</f>
        <v>0</v>
      </c>
      <c r="AF4" s="9" t="s">
        <v>1</v>
      </c>
      <c r="AG4" s="10">
        <f>IF(ISBLANK(Výsledky!G14),"",Výsledky!G14)</f>
        <v>0</v>
      </c>
      <c r="AH4" s="150">
        <f>IF(COUNTBLANK(AE4:AG4)=0,IF(AE4&lt;AG4,0,IF(AE4=AG4,1,3)),"")</f>
        <v>1</v>
      </c>
      <c r="AI4" s="60"/>
      <c r="AJ4" s="60"/>
      <c r="AK4" s="60"/>
      <c r="AL4" s="60"/>
      <c r="AM4" s="92">
        <f>SUM(O4,S4,W4,AA4,AE4)</f>
        <v>6</v>
      </c>
      <c r="AN4" s="93" t="s">
        <v>1</v>
      </c>
      <c r="AO4" s="94">
        <f>SUM(Q4,U4,Y4,AC4,AG4)</f>
        <v>7</v>
      </c>
      <c r="AP4" s="95">
        <f>G4+G5+G6+G7+G8</f>
        <v>7</v>
      </c>
      <c r="AQ4" s="92">
        <f aca="true" t="shared" si="0" ref="AQ4:AQ9">SUM(AM4-AO4)</f>
        <v>-1</v>
      </c>
      <c r="AR4" s="90">
        <f aca="true" t="shared" si="1" ref="AR4:AR9">IF(($F$2=30),"",BA4)</f>
        <v>4</v>
      </c>
      <c r="AS4" s="57"/>
      <c r="AT4" s="57"/>
      <c r="AU4" s="57"/>
      <c r="AV4" s="57"/>
      <c r="AW4" s="57"/>
      <c r="AX4" s="57"/>
      <c r="AY4" s="57"/>
      <c r="AZ4" s="57"/>
      <c r="BA4" s="58">
        <f>RANK(BL4,BL4:BL9)</f>
        <v>4</v>
      </c>
      <c r="BB4" s="54" t="str">
        <f aca="true" t="shared" si="2" ref="BB4:BB9">J4</f>
        <v>Hyeny</v>
      </c>
      <c r="BC4" s="54">
        <f aca="true" t="shared" si="3" ref="BC4:BC9">AP4</f>
        <v>7</v>
      </c>
      <c r="BD4" s="54">
        <f>SUM(IF(BC5=BC4,R4,0),IF(BC6=BC4,V4,0),IF(BC7=BC4,Z4,0),IF(BC8=BC4,AD4,0),IF(BC9=BC4,AH4,0))</f>
        <v>0</v>
      </c>
      <c r="BE4" s="54">
        <f aca="true" t="shared" si="4" ref="BE4:BE9">BF4-BG4</f>
        <v>-2</v>
      </c>
      <c r="BF4" s="54">
        <f>SUM(IF(BC5=BC4,O4,0),IF(BC6=BC4,S4,0),IF(BC7=BC4,W4,0),IF(BC8=BC4,AA4,0),IF(BC9=BC4,AE4,0))</f>
        <v>0</v>
      </c>
      <c r="BG4" s="54">
        <f>SUM(IF(BC5=BC4,Q4,0),IF(BC6=BC4,U4,0),IF(BC7=BC4,Y4,0),IF(BC8=BC4,AC4,0),IF(BC9=BC4,AG4,0))</f>
        <v>2</v>
      </c>
      <c r="BH4" s="54">
        <f aca="true" t="shared" si="5" ref="BH4:BH9">AQ4</f>
        <v>-1</v>
      </c>
      <c r="BI4" s="54">
        <f aca="true" t="shared" si="6" ref="BI4:BI9">AM4</f>
        <v>6</v>
      </c>
      <c r="BJ4" s="54">
        <f aca="true" t="shared" si="7" ref="BJ4:BJ9">IF(AO4&gt;0,AM4/AO4,IF(AND(AM4&gt;0,AO4=0),90,0))</f>
        <v>0.8571428571428571</v>
      </c>
      <c r="BK4" s="55">
        <f>IF(F2&gt;0,0,IF('[1]program'!I48=BB4,0.5,IF('[1]program'!I49=BB4,0.4,IF('[1]program'!I50=BB4,0.3,IF('[1]program'!I51=BB4,0.2,IF('[1]program'!I52=BB4,0.1,0))))))</f>
        <v>0</v>
      </c>
      <c r="BL4" s="54">
        <f>1000000000*BC4+100000000*BD4+1000000*BE4+10000*BF4+100*BH4+BI4+BK4+SUM(BH4:BK4)</f>
        <v>6997999911.857142</v>
      </c>
      <c r="BM4" s="54">
        <f>10000*BC4+100*BH4+BJ4+SUM(BH4:BL4)</f>
        <v>6998069818.571427</v>
      </c>
      <c r="BN4" s="54">
        <f>RANK(BM4,BM4:BM9)</f>
        <v>1</v>
      </c>
      <c r="BO4" s="54"/>
      <c r="BP4" s="54">
        <f aca="true" t="shared" si="8" ref="BP4:BP9">IF(BA4=1,BB4,"")</f>
      </c>
      <c r="BQ4" s="54">
        <f aca="true" t="shared" si="9" ref="BQ4:BQ9">IF(BA4=2,BB4,"")</f>
      </c>
      <c r="BR4" s="54">
        <f aca="true" t="shared" si="10" ref="BR4:BR9">IF(BA4=3,BB4,"")</f>
      </c>
      <c r="BS4" s="54" t="str">
        <f aca="true" t="shared" si="11" ref="BS4:BS9">IF(BA4=4,BB4,"")</f>
        <v>Hyeny</v>
      </c>
      <c r="BT4" s="54">
        <f aca="true" t="shared" si="12" ref="BT4:BT9">IF(BA4=5,BB4,"")</f>
      </c>
      <c r="BU4" s="54">
        <f aca="true" t="shared" si="13" ref="BU4:BU9">IF(BA4=6,BB4,"")</f>
      </c>
      <c r="BV4" s="54" t="s">
        <v>66</v>
      </c>
      <c r="BW4" s="54" t="str">
        <f>IF(COUNTBLANK(BP4:BP9)=5,BX4,"1A")</f>
        <v>FCH Most</v>
      </c>
      <c r="BX4" s="54" t="str">
        <f>IF(F2=0,IF(BY4=1,VLOOKUP(1,BA4:BB9,2,0),IF(BY4=2,"los2",IF(BY4=3,"los3",IF(BY4=4,"los4",IF(BY4=5,"los5",IF(BY4=6,"los6","1A")))))),"1A")</f>
        <v>FCH Most</v>
      </c>
      <c r="BY4" s="54">
        <f>IF(F2=0,6-COUNTBLANK(BP4:BP9),0)</f>
        <v>1</v>
      </c>
      <c r="BZ4" s="55">
        <f>IF(BY4&gt;1,IF(BP4=BB4,BB4,IF(BP5=BB5,BB5,IF(BP6=BB6,BB6,IF(BP7=BB7,BB7,IF(BP8=BB8,BB8,""))))),"")</f>
      </c>
      <c r="CA4" s="55">
        <f>IF(BY4&lt;2,"",IF(CHOOSE(MATCH(BZ4,BP4:BP9,0)+1,BP4,BP5,BP6,BP7,BP8,BP9)="",IF(CHOOSE(MATCH(BZ4,BP4:BP9,0)+2,BP4,BP5,BP6,BP7,BP8,BP9)="",IF(CHOOSE(MATCH(BZ4,BP4:BP9,0)+3,BP4,BP5,BP6,BP7,BP8,BP9)="",IF(CHOOSE(MATCH(BZ4,BP4:BP9,0)+4,BP4,BP5,BP6,BP7,BP8,BP9)="",CHOOSE(MATCH(BZ4,BP4:BP9,0)+5,BP4,BP5,BP6,BP7,BP8,BP9),CHOOSE(MATCH(BZ4,BP4:BP9,0)+4,BP4,BP5,BP6,BP7,BP8,BP9)),CHOOSE(MATCH(BZ4,BP4:BP9,0)+3,BP4,BP5,BP6,BP7,BP8,BP9)),CHOOSE(MATCH(BZ4,BP4:BP9,0)+2,BP4,BP5,BP6,BP7,BP8,BP9)),CHOOSE(MATCH(BZ4,BP4:BP9,0)+1,BP4,BP5,BP6,BP7,BP8,BP9)))</f>
      </c>
      <c r="CB4" s="55">
        <f>IF(BY4&lt;3,"",IF(CHOOSE(MATCH(CA4,BP4:BP9,0)+1,BP4,BP5,BP6,BP7,BP8,BP9)="",IF(CHOOSE(MATCH(CA4,BP4:BP9,0)+2,BP4,BP5,BP6,BP7,BP8,BP9)="",IF(CHOOSE(MATCH(CA4,BP4:BP9,0)+3,BP4,BP5,BP6,BP7,BP8,BP9)="",IF(CHOOSE(MATCH(CA4,BP4:BP9,0)+4,BP4,BP5,BP6,BP7,BP8,BP9)="",CHOOSE(MATCH(CA4,BP4:BP9,0)+5,BP4,BP5,BP6,BP7,BP8,BP9),CHOOSE(MATCH(CA4,BP4:BP9,0)+4,BP4,BP5,BP6,BP7,BP8,BP9)),CHOOSE(MATCH(CA4,BP4:BP9,0)+3,BP4,BP5,BP6,BP7,BP8,BP9)),CHOOSE(MATCH(CA4,BP4:BP9,0)+2,BP4,BP5,BP6,BP7,BP8,BP9)),CHOOSE(MATCH(CA4,BP4:BP9,0)+1,BP4,BP5,BP6,BP7,BP8,BP9)))</f>
      </c>
      <c r="CC4" s="55">
        <f>IF(BY4&lt;4,"",IF(CHOOSE(MATCH(CB4,BP4:BP9,0)+1,BP4,BP5,BP6,BP7,BP8,BP9)="",IF(CHOOSE(MATCH(CB4,BP4:BP9,0)+2,BP4,BP5,BP6,BP7,BP8,BP9)="",IF(CHOOSE(MATCH(CB4,BP4:BP9,0)+3,BP4,BP5,BP6,BP7,BP8,BP9)="",IF(CHOOSE(MATCH(CB4,BP4:BP9,0)+4,BP4,BP5,BP6,BP7,BP8,BP9)="",CHOOSE(MATCH(CB4,BP4:BP9,0)+5,BP4,BP5,BP6,BP7,BP8,BP9),CHOOSE(MATCH(CB4,BP4:BP9,0)+4,BP4,BP5,BP6,BP7,BP8,BP9)),CHOOSE(MATCH(CB4,BP4:BP9,0)+3,BP4,BP5,BP6,BP7,BP8,BP9)),CHOOSE(MATCH(CB4,BP4:BP9,0)+2,BP4,BP5,BP6,BP7,BP8,BP9)),CHOOSE(MATCH(CB4,BP4:BP9,0)+1,BP4,BP5,BP6,BP7,BP8,BP9)))</f>
      </c>
      <c r="CD4" s="55">
        <f>IF(BY4&lt;5,"",IF(CHOOSE(MATCH(CC4,BP4:BP9,0)+1,BP4,BP5,BP6,BP7,BP8,BP9)="",IF(CHOOSE(MATCH(CC4,BP4:BP9,0)+2,BP4,BP5,BP6,BP7,BP8,BP9)="",IF(CHOOSE(MATCH(CC4,BP4:BP9,0)+3,BP4,BP5,BP6,BP7,BP8,BP9)="",IF(CHOOSE(MATCH(CC4,BP4:BP9,0)+4,BP4,BP5,BP6,BP7,BP8,BP9)="",CHOOSE(MATCH(CC4,BP4:BP9,0)+5,BP4,BP5,BP6,BP7,BP8,BP9),CHOOSE(MATCH(CC4,BP4:BP9,0)+4,BP4,BP5,BP6,BP7,BP8,BP9)),CHOOSE(MATCH(CC4,BP4:BP9,0)+3,BP4,BP5,BP6,BP7,BP8,BP9)),CHOOSE(MATCH(CC4,BP4:BP9,0)+2,BP4,BP5,BP6,BP7,BP8,BP9)),CHOOSE(MATCH(CC4,BP4:BP9,0)+1,BP4,BP5,BP6,BP7,BP8,BP9)))</f>
      </c>
      <c r="CE4" s="54">
        <f>IF(BY4=6,BB9,"")</f>
      </c>
    </row>
    <row r="5" spans="1:83" ht="19.5" customHeight="1">
      <c r="A5" s="54"/>
      <c r="B5" s="65" t="str">
        <f>Týmy!$B$4</f>
        <v>Hyeny</v>
      </c>
      <c r="C5" s="62">
        <f>$S$4</f>
        <v>0</v>
      </c>
      <c r="D5" s="89" t="s">
        <v>1</v>
      </c>
      <c r="E5" s="63">
        <f>$U$4</f>
        <v>2</v>
      </c>
      <c r="F5" s="65" t="str">
        <f>Týmy!$B$6</f>
        <v>FCH Most</v>
      </c>
      <c r="G5" s="64">
        <f aca="true" t="shared" si="14" ref="G5:G18">IF(COUNTBLANK(C5:E5)&gt;0,0,IF(C5&gt;E5,3,IF(C5=E5,1,0)))</f>
        <v>0</v>
      </c>
      <c r="H5" s="64">
        <f aca="true" t="shared" si="15" ref="H5:H18">IF(COUNTBLANK(C5:E5)&gt;0,0,IF(C5&lt;E5,3,IF(C5=E5,1,0)))</f>
        <v>3</v>
      </c>
      <c r="I5" s="54"/>
      <c r="J5" s="81" t="str">
        <f>Týmy!$B$5</f>
        <v>Mako Litvínov</v>
      </c>
      <c r="K5" s="11">
        <f>$Q$4</f>
        <v>2</v>
      </c>
      <c r="L5" s="9" t="s">
        <v>1</v>
      </c>
      <c r="M5" s="10">
        <f>$O$4</f>
        <v>0</v>
      </c>
      <c r="N5" s="60">
        <f>IF(COUNTBLANK(K5:M5)=0,IF(K5&lt;M5,0,IF(K5=M5,1,3)),"")</f>
        <v>3</v>
      </c>
      <c r="O5" s="204" t="s">
        <v>19</v>
      </c>
      <c r="P5" s="205"/>
      <c r="Q5" s="206"/>
      <c r="R5" s="121"/>
      <c r="S5" s="11">
        <f>IF(ISBLANK(Výsledky!E11),"",Výsledky!E11)</f>
        <v>1</v>
      </c>
      <c r="T5" s="9" t="s">
        <v>1</v>
      </c>
      <c r="U5" s="10">
        <f>IF(ISBLANK(Výsledky!G11),"",Výsledky!G11)</f>
        <v>2</v>
      </c>
      <c r="V5" s="60">
        <f>IF(COUNTBLANK(S5:U5)=0,IF(S5&lt;U5,0,IF(S5=U5,1,3)),"")</f>
        <v>0</v>
      </c>
      <c r="W5" s="11">
        <f>IF(ISBLANK(Výsledky!E6),"",Výsledky!E6)</f>
        <v>1</v>
      </c>
      <c r="X5" s="9" t="s">
        <v>1</v>
      </c>
      <c r="Y5" s="10">
        <f>IF(ISBLANK(Výsledky!G6),"",Výsledky!G6)</f>
        <v>1</v>
      </c>
      <c r="Z5" s="60">
        <f>IF(COUNTBLANK(W5:Y5)=0,IF(W5&lt;Y5,0,IF(W5=Y5,1,3)),"")</f>
        <v>1</v>
      </c>
      <c r="AA5" s="11">
        <f>IF(ISBLANK(Výsledky!E13),"",Výsledky!E13)</f>
        <v>1</v>
      </c>
      <c r="AB5" s="9" t="s">
        <v>1</v>
      </c>
      <c r="AC5" s="10">
        <f>IF(ISBLANK(Výsledky!G13),"",Výsledky!G13)</f>
        <v>0</v>
      </c>
      <c r="AD5" s="60">
        <f>IF(COUNTBLANK(AA5:AC5)=0,IF(AA5&lt;AC5,0,IF(AA5=AC5,1,3)),"")</f>
        <v>3</v>
      </c>
      <c r="AE5" s="11">
        <f>IF(ISBLANK(Výsledky!E8),"",Výsledky!E8)</f>
        <v>0</v>
      </c>
      <c r="AF5" s="9" t="s">
        <v>1</v>
      </c>
      <c r="AG5" s="10">
        <f>IF(ISBLANK(Výsledky!G8),"",Výsledky!G8)</f>
        <v>1</v>
      </c>
      <c r="AH5" s="150">
        <f>IF(COUNTBLANK(AE5:AG5)=0,IF(AE5&lt;AG5,0,IF(AE5=AG5,1,3)),"")</f>
        <v>0</v>
      </c>
      <c r="AI5" s="60"/>
      <c r="AJ5" s="60"/>
      <c r="AK5" s="60"/>
      <c r="AL5" s="60"/>
      <c r="AM5" s="92">
        <f>SUM(K5,S5,W5,AA5,AE5)</f>
        <v>5</v>
      </c>
      <c r="AN5" s="93" t="s">
        <v>1</v>
      </c>
      <c r="AO5" s="94">
        <f>SUM(M5,U5,Y5,AC5,AG5)</f>
        <v>4</v>
      </c>
      <c r="AP5" s="95">
        <f>H4+G9+G10+G11+G12</f>
        <v>7</v>
      </c>
      <c r="AQ5" s="92">
        <f t="shared" si="0"/>
        <v>1</v>
      </c>
      <c r="AR5" s="90">
        <f t="shared" si="1"/>
        <v>3</v>
      </c>
      <c r="AS5" s="57"/>
      <c r="AT5" s="57"/>
      <c r="AU5" s="57"/>
      <c r="AV5" s="57"/>
      <c r="AW5" s="57"/>
      <c r="AX5" s="57"/>
      <c r="AY5" s="57"/>
      <c r="AZ5" s="57"/>
      <c r="BA5" s="58">
        <f>RANK(BL5,BL4:BL9)</f>
        <v>3</v>
      </c>
      <c r="BB5" s="54" t="str">
        <f t="shared" si="2"/>
        <v>Mako Litvínov</v>
      </c>
      <c r="BC5" s="54">
        <f t="shared" si="3"/>
        <v>7</v>
      </c>
      <c r="BD5" s="54">
        <f>SUM(IF(BC4=BC5,N5,0),IF(BC6=BC5,V5,0),IF(BC7=BC5,Z5,0),IF(BC8=BC5,AD5,0),IF(BC9=BC5,AH5,0))</f>
        <v>3</v>
      </c>
      <c r="BE5" s="54">
        <f t="shared" si="4"/>
        <v>2</v>
      </c>
      <c r="BF5" s="54">
        <f>SUM(IF(BC4=BC5,K5,0),IF(BC6=BC5,S5,0),IF(BC7=BC5,W5,0),IF(BC8=BC5,AA5,0),IF(BC9=BC5,AE5,0))</f>
        <v>2</v>
      </c>
      <c r="BG5" s="54">
        <f>SUM(IF(BC4=BC5,M5,0),IF(BC6=BC5,U5,0),IF(BC7=BC5,Y5,0),IF(BC8=BC5,AC5,0),IF(BC9=BC5,AG5,0))</f>
        <v>0</v>
      </c>
      <c r="BH5" s="54">
        <f t="shared" si="5"/>
        <v>1</v>
      </c>
      <c r="BI5" s="54">
        <f t="shared" si="6"/>
        <v>5</v>
      </c>
      <c r="BJ5" s="54">
        <f t="shared" si="7"/>
        <v>1.25</v>
      </c>
      <c r="BK5" s="55">
        <f>IF(F2&gt;0,0,IF('[1]program'!I48=BB5,0.5,IF('[1]program'!I49=BB5,0.4,IF('[1]program'!I50=BB5,0.3,IF('[1]program'!I51=BB5,0.2,IF('[1]program'!I52=BB5,0.1,0))))))</f>
        <v>0</v>
      </c>
      <c r="BL5" s="54">
        <f>1000000000*BC5+100000000*BD5+1000000*BE5+10000*BF5+100*BH5+BI5+BK5</f>
        <v>7302020105</v>
      </c>
      <c r="BM5" s="54">
        <f>10000*BC5+100*BH5+BJ5</f>
        <v>70101.25</v>
      </c>
      <c r="BN5" s="54">
        <f>RANK(BM5,BM4:BM9)</f>
        <v>4</v>
      </c>
      <c r="BO5" s="54"/>
      <c r="BP5" s="54">
        <f t="shared" si="8"/>
      </c>
      <c r="BQ5" s="54">
        <f t="shared" si="9"/>
      </c>
      <c r="BR5" s="54" t="str">
        <f t="shared" si="10"/>
        <v>Mako Litvínov</v>
      </c>
      <c r="BS5" s="54">
        <f t="shared" si="11"/>
      </c>
      <c r="BT5" s="54">
        <f t="shared" si="12"/>
      </c>
      <c r="BU5" s="54">
        <f t="shared" si="13"/>
      </c>
      <c r="BV5" s="54" t="s">
        <v>67</v>
      </c>
      <c r="BW5" s="54" t="str">
        <f>IF(COUNTBLANK(BQ4:BQ9)=5,BX5,"2A")</f>
        <v>Kralda team</v>
      </c>
      <c r="BX5" s="54" t="str">
        <f>IF(F2=0,IF(BY5=1,VLOOKUP(2,BA4:BB9,2,0),IF(BY5=2,"los2",IF(BY5=3,"los3",IF(BY5=4,"los4",IF(BY5=5,"los5","2A"))))),"2A")</f>
        <v>Kralda team</v>
      </c>
      <c r="BY5" s="54">
        <f>IF(F2=0,6-COUNTBLANK(BQ4:BQ9),0)</f>
        <v>1</v>
      </c>
      <c r="BZ5" s="55">
        <f>IF(BY5&gt;1,IF(BQ4=BB4,BB4,IF(BQ5=BB5,BB5,IF(BQ6=BB6,BB6,IF(BQ7=BB7,BB7,IF(BQ8=BB8,BB8,""))))),"")</f>
      </c>
      <c r="CA5" s="55">
        <f>IF(BY5&lt;2,"",IF(CHOOSE(MATCH(BZ5,BQ4:BQ9,0)+1,BQ4,BQ5,BQ6,BQ7,BQ8,BQ9)="",IF(CHOOSE(MATCH(BZ5,BQ4:BQ9,0)+2,BQ4,BQ5,BQ6,BQ7,BQ8,BQ9)="",IF(CHOOSE(MATCH(BZ5,BQ4:BQ9,0)+3,BQ4,BQ5,BQ6,BQ7,BQ8,BQ9)="",IF(CHOOSE(MATCH(BZ5,BQ4:BQ9,0)+4,BQ4,BQ5,BQ6,BQ7,BQ8,BQ9)="",CHOOSE(MATCH(BZ5,BQ4:BQ9,0)+5,BQ4,BQ5,BQ6,BQ7,BQ8,BQ9),CHOOSE(MATCH(BZ5,BQ4:BQ9,0)+4,BQ4,BQ5,BQ6,BQ7,BQ8,BQ9)),CHOOSE(MATCH(BZ5,BQ4:BQ9,0)+3,BQ4,BQ5,BQ6,BQ7,BQ8,BQ9)),CHOOSE(MATCH(BZ5,BQ4:BQ9,0)+2,BQ4,BQ5,BQ6,BQ7,BQ8,BQ9)),CHOOSE(MATCH(BZ5,BQ4:BQ9,0)+1,BQ4,BQ5,BQ6,BQ7,BQ8,BQ9)))</f>
      </c>
      <c r="CB5" s="55">
        <f>IF(BY5&lt;3,"",IF(CHOOSE(MATCH(CA5,BQ4:BQ9,0)+1,BQ4,BQ5,BQ6,BQ7,BQ8,BQ9)="",IF(CHOOSE(MATCH(CA5,BQ4:BQ9,0)+2,BQ4,BQ5,BQ6,BQ7,BQ8,BQ9)="",IF(CHOOSE(MATCH(CA5,BQ4:BQ9,0)+3,BQ4,BQ5,BQ6,BQ7,BQ8,BQ9)="",IF(CHOOSE(MATCH(CA5,BQ4:BQ9,0)+4,BQ4,BQ5,BQ6,BQ7,BQ8,BQ9)="",CHOOSE(MATCH(CA5,BQ4:BQ9,0)+5,BQ4,BQ5,BQ6,BQ7,BQ8,BQ9),CHOOSE(MATCH(CA5,BQ4:BQ9,0)+4,BQ4,BQ5,BQ6,BQ7,BQ8,BQ9)),CHOOSE(MATCH(CA5,BQ4:BQ9,0)+3,BQ4,BQ5,BQ6,BQ7,BQ8,BQ9)),CHOOSE(MATCH(CA5,BQ4:BQ9,0)+2,BQ4,BQ5,BQ6,BQ7,BQ8,BQ9)),CHOOSE(MATCH(CA5,BQ4:BQ9,0)+1,BQ4,BQ5,BQ6,BQ7,BQ8,BQ9)))</f>
      </c>
      <c r="CC5" s="55">
        <f>IF(BY5&lt;4,"",IF(CHOOSE(MATCH(CB5,BQ4:BQ9,0)+1,BQ4,BQ5,BQ6,BQ7,BQ8,BQ9)="",IF(CHOOSE(MATCH(CB5,BQ4:BQ9,0)+2,BQ4,BQ5,BQ6,BQ7,BQ8,BQ9)="",IF(CHOOSE(MATCH(CB5,BQ4:BQ9,0)+3,BQ4,BQ5,BQ6,BQ7,BQ8,BQ9)="",IF(CHOOSE(MATCH(CB5,BQ4:BQ9,0)+4,BQ4,BQ5,BQ6,BQ7,BQ8,BQ9)="",CHOOSE(MATCH(CB5,BQ4:BQ9,0)+5,BQ4,BQ5,BQ6,BQ7,BQ8,BQ9),CHOOSE(MATCH(CB5,BQ4:BQ9,0)+4,BQ4,BQ5,BQ6,BQ7,BQ8,BQ9)),CHOOSE(MATCH(CB5,BQ4:BQ9,0)+3,BQ4,BQ5,BQ6,BQ7,BQ8,BQ9)),CHOOSE(MATCH(CB5,BQ4:BQ9,0)+2,BQ4,BQ5,BQ6,BQ7,BQ8,BQ9)),CHOOSE(MATCH(CB5,BQ4:BQ9,0)+1,BQ4,BQ5,BQ6,BQ7,BQ8,BQ9)))</f>
      </c>
      <c r="CD5" s="55">
        <f>IF(BY5&lt;5,"",IF(CHOOSE(MATCH(CC5,BQ4:BQ9,0)+1,BQ4,BQ5,BQ6,BQ7,BQ8,BQ9)="",IF(CHOOSE(MATCH(CC5,BQ4:BQ9,0)+2,BQ4,BQ5,BQ6,BQ7,BQ8,BQ9)="",IF(CHOOSE(MATCH(CC5,BQ4:BQ9,0)+3,BQ4,BQ5,BQ6,BQ7,BQ8,BQ9)="",IF(CHOOSE(MATCH(CC5,BQ4:BQ9,0)+4,BQ4,BQ5,BQ6,BQ7,BQ8,BQ9)="",CHOOSE(MATCH(CC5,BQ4:BQ9,0)+5,BQ4,BQ5,BQ6,BQ7,BQ8,BQ9),CHOOSE(MATCH(CC5,BQ4:BQ9,0)+4,BQ4,BQ5,BQ6,BQ7,BQ8,BQ9)),CHOOSE(MATCH(CC5,BQ4:BQ9,0)+3,BQ4,BQ5,BQ6,BQ7,BQ8,BQ9)),CHOOSE(MATCH(CC5,BQ4:BQ9,0)+2,BQ4,BQ5,BQ6,BQ7,BQ8,BQ9)),CHOOSE(MATCH(CC5,BQ4:BQ9,0)+1,BQ4,BQ5,BQ6,BQ7,BQ8,BQ9)))</f>
      </c>
      <c r="CE5" s="54"/>
    </row>
    <row r="6" spans="1:83" ht="19.5" customHeight="1">
      <c r="A6" s="54"/>
      <c r="B6" s="65" t="str">
        <f>Týmy!$B$4</f>
        <v>Hyeny</v>
      </c>
      <c r="C6" s="62">
        <f>$W$4</f>
        <v>3</v>
      </c>
      <c r="D6" s="89" t="s">
        <v>1</v>
      </c>
      <c r="E6" s="63">
        <f>$Y$4</f>
        <v>1</v>
      </c>
      <c r="F6" s="65" t="str">
        <f>Týmy!$B$7</f>
        <v>Real Most</v>
      </c>
      <c r="G6" s="64">
        <f t="shared" si="14"/>
        <v>3</v>
      </c>
      <c r="H6" s="64">
        <f t="shared" si="15"/>
        <v>0</v>
      </c>
      <c r="I6" s="54"/>
      <c r="J6" s="81" t="str">
        <f>Týmy!$B$6</f>
        <v>FCH Most</v>
      </c>
      <c r="K6" s="11">
        <f>$U$4</f>
        <v>2</v>
      </c>
      <c r="L6" s="9" t="s">
        <v>1</v>
      </c>
      <c r="M6" s="10">
        <f>$S$4</f>
        <v>0</v>
      </c>
      <c r="N6" s="60">
        <f>IF(COUNTBLANK(K6:M6)=0,IF(K6&lt;M6,0,IF(K6=M6,1,3)),"")</f>
        <v>3</v>
      </c>
      <c r="O6" s="11">
        <f>$U$5</f>
        <v>2</v>
      </c>
      <c r="P6" s="9" t="s">
        <v>1</v>
      </c>
      <c r="Q6" s="10">
        <f>$S$5</f>
        <v>1</v>
      </c>
      <c r="R6" s="60">
        <f>IF(COUNTBLANK(O6:Q6)=0,IF(O6&lt;Q6,0,IF(O6=Q6,1,3)),"")</f>
        <v>3</v>
      </c>
      <c r="S6" s="198" t="s">
        <v>19</v>
      </c>
      <c r="T6" s="199"/>
      <c r="U6" s="200"/>
      <c r="V6" s="121"/>
      <c r="W6" s="11">
        <f>IF(ISBLANK(Výsledky!E3),"",Výsledky!E3)</f>
        <v>3</v>
      </c>
      <c r="X6" s="9" t="s">
        <v>1</v>
      </c>
      <c r="Y6" s="10">
        <f>IF(ISBLANK(Výsledky!G3),"",Výsledky!G3)</f>
        <v>0</v>
      </c>
      <c r="Z6" s="60">
        <f>IF(COUNTBLANK(W6:Y6)=0,IF(W6&lt;Y6,0,IF(W6=Y6,1,3)),"")</f>
        <v>3</v>
      </c>
      <c r="AA6" s="11">
        <f>IF(ISBLANK(Výsledky!E9),"",Výsledky!E9)</f>
        <v>3</v>
      </c>
      <c r="AB6" s="9" t="s">
        <v>1</v>
      </c>
      <c r="AC6" s="10">
        <f>IF(ISBLANK(Výsledky!G9),"",Výsledky!G9)</f>
        <v>0</v>
      </c>
      <c r="AD6" s="60">
        <f>IF(COUNTBLANK(AA6:AC6)=0,IF(AA6&lt;AC6,0,IF(AA6=AC6,1,3)),"")</f>
        <v>3</v>
      </c>
      <c r="AE6" s="11">
        <f>IF(ISBLANK(Výsledky!E16),"",Výsledky!E16)</f>
        <v>0</v>
      </c>
      <c r="AF6" s="9" t="s">
        <v>1</v>
      </c>
      <c r="AG6" s="10">
        <f>IF(ISBLANK(Výsledky!G16),"",Výsledky!G16)</f>
        <v>3</v>
      </c>
      <c r="AH6" s="150">
        <f>IF(COUNTBLANK(AE6:AG6)=0,IF(AE6&lt;AG6,0,IF(AE6=AG6,1,3)),"")</f>
        <v>0</v>
      </c>
      <c r="AI6" s="60"/>
      <c r="AJ6" s="60"/>
      <c r="AK6" s="60"/>
      <c r="AL6" s="60"/>
      <c r="AM6" s="92">
        <f>SUM(K6,O6,W6,AA6,AE6)</f>
        <v>10</v>
      </c>
      <c r="AN6" s="93" t="s">
        <v>1</v>
      </c>
      <c r="AO6" s="94">
        <f>SUM(M6,Q6,Y6,AC6,AG6)</f>
        <v>4</v>
      </c>
      <c r="AP6" s="95">
        <f>H5+H9+G13+G14+G15</f>
        <v>12</v>
      </c>
      <c r="AQ6" s="92">
        <f t="shared" si="0"/>
        <v>6</v>
      </c>
      <c r="AR6" s="90">
        <f t="shared" si="1"/>
        <v>1</v>
      </c>
      <c r="AS6" s="57"/>
      <c r="AT6" s="57"/>
      <c r="AU6" s="57"/>
      <c r="AV6" s="57"/>
      <c r="AW6" s="57"/>
      <c r="AX6" s="57"/>
      <c r="AY6" s="57"/>
      <c r="AZ6" s="57"/>
      <c r="BA6" s="58">
        <f>RANK(BL6,BL4:BL9)</f>
        <v>1</v>
      </c>
      <c r="BB6" s="54" t="str">
        <f t="shared" si="2"/>
        <v>FCH Most</v>
      </c>
      <c r="BC6" s="54">
        <f t="shared" si="3"/>
        <v>12</v>
      </c>
      <c r="BD6" s="54">
        <f>SUM(IF(BC4=BC6,N6,0),IF(BC5=BC6,R6,0),IF(BC7=BC6,Z6,0),IF(BC8=BC6,AD6,0),IF(BC9=BC6,AH6,0))</f>
        <v>0</v>
      </c>
      <c r="BE6" s="54">
        <f t="shared" si="4"/>
        <v>0</v>
      </c>
      <c r="BF6" s="54">
        <f>SUM(IF(BC4=BC6,K6,0),IF(BC5=BC6,O6,0),IF(BC7=BC6,W6,0),IF(BC8=BC6,AA6,0),IF(BC9=BC6,AE6,0))</f>
        <v>0</v>
      </c>
      <c r="BG6" s="54">
        <f>SUM(IF(BC4=BC6,M6,0),IF(BC5=BC6,Q6,0),IF(BC7=BC6,Y6,0),IF(BC8=BC6,AC6,0),IF(BC9=BC6,AG6,0))</f>
        <v>0</v>
      </c>
      <c r="BH6" s="54">
        <f t="shared" si="5"/>
        <v>6</v>
      </c>
      <c r="BI6" s="54">
        <f t="shared" si="6"/>
        <v>10</v>
      </c>
      <c r="BJ6" s="54">
        <f t="shared" si="7"/>
        <v>2.5</v>
      </c>
      <c r="BK6" s="55">
        <f>IF(F2&gt;0,0,IF('[1]program'!I48=BB6,0.5,IF('[1]program'!I49=BB6,0.4,IF('[1]program'!I50=BB6,0.3,IF('[1]program'!I51=BB6,0.2,IF('[1]program'!I52=BB6,0.1,0))))))</f>
        <v>0</v>
      </c>
      <c r="BL6" s="54">
        <f>1000000000*BC6+100000000*BD6+1000000*BE6+10000*BF6+100*BH6+BI6+BK6</f>
        <v>12000000610</v>
      </c>
      <c r="BM6" s="54">
        <f>10000*BC6+100*BH6+BJ6</f>
        <v>120602.5</v>
      </c>
      <c r="BN6" s="54">
        <f>RANK(BM6,BM4:BM9)</f>
        <v>2</v>
      </c>
      <c r="BO6" s="54"/>
      <c r="BP6" s="54" t="str">
        <f t="shared" si="8"/>
        <v>FCH Most</v>
      </c>
      <c r="BQ6" s="54">
        <f t="shared" si="9"/>
      </c>
      <c r="BR6" s="54">
        <f t="shared" si="10"/>
      </c>
      <c r="BS6" s="54">
        <f t="shared" si="11"/>
      </c>
      <c r="BT6" s="54">
        <f t="shared" si="12"/>
      </c>
      <c r="BU6" s="54">
        <f t="shared" si="13"/>
      </c>
      <c r="BV6" s="54" t="s">
        <v>68</v>
      </c>
      <c r="BW6" s="54" t="str">
        <f>IF(COUNTBLANK(BQ4:BQ9)=5,BX6,"3A")</f>
        <v>Mako Litvínov</v>
      </c>
      <c r="BX6" s="54" t="str">
        <f>IF(F2=0,IF(BY6=1,VLOOKUP(3,BA4:BB9,2,0),IF(BY6=2,"los2",IF(BY6=3,"los3",IF(BY6=4,"los4","3A")))),"3A")</f>
        <v>Mako Litvínov</v>
      </c>
      <c r="BY6" s="54">
        <f>IF(F2=0,6-COUNTBLANK(BR4:BR9),0)</f>
        <v>1</v>
      </c>
      <c r="BZ6" s="55">
        <f>IF(BY6&gt;1,IF(BR4=BB4,BB4,IF(BR5=BB5,BB5,IF(BR6=BB6,BB6,IF(BR7=BB7,BB7,IF(BR8=BB8,BB8,""))))),"")</f>
      </c>
      <c r="CA6" s="55">
        <f>IF(BY6&lt;2,"",IF(CHOOSE(MATCH(BZ6,BR4:BR9,0)+1,BR4,BR5,BR6,BR7,BR8,BR9)="",IF(CHOOSE(MATCH(BZ6,BR4:BR9,0)+2,BR4,BR5,BR6,BR7,BR8,BR9)="",IF(CHOOSE(MATCH(BZ6,BR4:BR9,0)+3,BR4,BR5,BR6,BR7,BR8,BR9)="",IF(CHOOSE(MATCH(BZ6,BR4:BR9,0)+4,BR4,BR5,BR6,BR7,BR8,BR9)="",CHOOSE(MATCH(BZ6,BR4:BR9,0)+5,BR4,BR5,BR6,BR7,BR8,BR9),CHOOSE(MATCH(BZ6,BR4:BR9,0)+4,BR4,BR5,BR6,BR7,BR8,BR9)),CHOOSE(MATCH(BZ6,BR4:BR9,0)+3,BR4,BR5,BR6,BR7,BR8,BR9)),CHOOSE(MATCH(BZ6,BR4:BR9,0)+2,BR4,BR5,BR6,BR7,BR8,BR9)),CHOOSE(MATCH(BZ6,BR4:BR9,0)+1,BR4,BR5,BR6,BR7,BR8,BR9)))</f>
      </c>
      <c r="CB6" s="55">
        <f>IF(BY6&lt;3,"",IF(CHOOSE(MATCH(CA6,BR4:BR9,0)+1,BR4,BR5,BR6,BR7,BR8,BR9)="",IF(CHOOSE(MATCH(CA6,BR4:BR63,0)+2,BR4,BR5,BR6,BR7,BR8,BR9)="",IF(CHOOSE(MATCH(CA6,BR4:BR9,0)+3,BR4,BR5,BR6,BR7,BR8,BR9)="",IF(CHOOSE(MATCH(CA6,BR4:BR9,0)+4,BR4,BR5,BR6,BR7,BR8,BR9)="",CHOOSE(MATCH(CA6,BR4:BR9,0)+5,BR4,BR5,BR6,BR7,BR8,BR9),CHOOSE(MATCH(CA6,BR4:BR9,0)+4,BR4,BR5,BR6,BR7,BR8,BR9)),CHOOSE(MATCH(CA6,BR4:BR9,0)+3,BR4,BR5,BR6,BR7,BR8,BR9)),CHOOSE(MATCH(CA6,BR4:BR9,0)+2,BR4,BR5,BR6,BR7,BR8,BR9)),CHOOSE(MATCH(CA6,BR4:BR9,0)+1,BR4,BR5,BR6,BR7,BR8,BR9)))</f>
      </c>
      <c r="CC6" s="55">
        <f>IF(BY6&lt;4,"",IF(CHOOSE(MATCH(CB6,BR4:BR9,0)+1,BR4,BR5,BR6,BR7,BR8,BR9)="",IF(CHOOSE(MATCH(CB6,BR4:BR63,0)+2,BR4,BR5,BR6,BR7,BR8,BR9)="",IF(CHOOSE(MATCH(CB6,BR4:BR9,0)+3,BR4,BR5,BR6,BR7,BR8,BR9)="",IF(CHOOSE(MATCH(CB6,BR4:BR9,0)+4,BR4,BR5,BR6,BR7,BR8,BR9)="",CHOOSE(MATCH(CB6,BR4:BR9,0)+5,BR4,BR5,BR6,BR7,BR8,BR9),CHOOSE(MATCH(CB6,BR4:BR9,0)+4,BR4,BR5,BR6,BR7,BR8,BR9)),CHOOSE(MATCH(CB6,BR4:BR9,0)+3,BR4,BR5,BR6,BR7,BR8,BR9)),CHOOSE(MATCH(CB6,BR4:BR9,0)+2,BR4,BR5,BR6,BR7,BR8,BR9)),CHOOSE(MATCH(CB6,BR4:BR9,0)+1,BR4,BR5,BR6,BR7,BR8,BR9)))</f>
      </c>
      <c r="CD6" s="55"/>
      <c r="CE6" s="54"/>
    </row>
    <row r="7" spans="1:83" ht="19.5" customHeight="1">
      <c r="A7" s="54"/>
      <c r="B7" s="65" t="str">
        <f>Týmy!$B$4</f>
        <v>Hyeny</v>
      </c>
      <c r="C7" s="62">
        <f>$AA$4</f>
        <v>3</v>
      </c>
      <c r="D7" s="89" t="s">
        <v>1</v>
      </c>
      <c r="E7" s="63">
        <f>$AC$4</f>
        <v>2</v>
      </c>
      <c r="F7" s="65" t="str">
        <f>Týmy!$B$8</f>
        <v>FOSY </v>
      </c>
      <c r="G7" s="64">
        <f t="shared" si="14"/>
        <v>3</v>
      </c>
      <c r="H7" s="64">
        <f t="shared" si="15"/>
        <v>0</v>
      </c>
      <c r="I7" s="54"/>
      <c r="J7" s="82" t="str">
        <f>Týmy!$B$7</f>
        <v>Real Most</v>
      </c>
      <c r="K7" s="26">
        <f>$Y$4</f>
        <v>1</v>
      </c>
      <c r="L7" s="27" t="s">
        <v>1</v>
      </c>
      <c r="M7" s="28">
        <f>$W$4</f>
        <v>3</v>
      </c>
      <c r="N7" s="60">
        <f>IF(COUNTBLANK(K7:M7)=0,IF(K7&lt;M7,0,IF(K7=M7,1,3)),"")</f>
        <v>0</v>
      </c>
      <c r="O7" s="26">
        <f>$Y$5</f>
        <v>1</v>
      </c>
      <c r="P7" s="27" t="s">
        <v>1</v>
      </c>
      <c r="Q7" s="28">
        <f>$W$5</f>
        <v>1</v>
      </c>
      <c r="R7" s="60">
        <f>IF(COUNTBLANK(O7:Q7)=0,IF(O7&lt;Q7,0,IF(O7=Q7,1,3)),"")</f>
        <v>1</v>
      </c>
      <c r="S7" s="26">
        <f>$Y$6</f>
        <v>0</v>
      </c>
      <c r="T7" s="27" t="s">
        <v>1</v>
      </c>
      <c r="U7" s="28">
        <f>$W$6</f>
        <v>3</v>
      </c>
      <c r="V7" s="60">
        <f>IF(COUNTBLANK(S7:U7)=0,IF(S7&lt;U7,0,IF(S7=U7,1,3)),"")</f>
        <v>0</v>
      </c>
      <c r="W7" s="201" t="s">
        <v>19</v>
      </c>
      <c r="X7" s="202"/>
      <c r="Y7" s="203"/>
      <c r="Z7" s="122"/>
      <c r="AA7" s="11">
        <f>IF(ISBLANK(Výsledky!E15),"",Výsledky!E15)</f>
        <v>1</v>
      </c>
      <c r="AB7" s="9" t="s">
        <v>1</v>
      </c>
      <c r="AC7" s="10">
        <f>IF(ISBLANK(Výsledky!G15),"",Výsledky!G15)</f>
        <v>1</v>
      </c>
      <c r="AD7" s="60">
        <f>IF(COUNTBLANK(AA7:AC7)=0,IF(AA7&lt;AC7,0,IF(AA7=AC7,1,3)),"")</f>
        <v>1</v>
      </c>
      <c r="AE7" s="11">
        <f>IF(ISBLANK(Výsledky!E12),"",Výsledky!E12)</f>
        <v>1</v>
      </c>
      <c r="AF7" s="9" t="s">
        <v>1</v>
      </c>
      <c r="AG7" s="10">
        <f>IF(ISBLANK(Výsledky!G12),"",Výsledky!G12)</f>
        <v>0</v>
      </c>
      <c r="AH7" s="150">
        <f>IF(COUNTBLANK(AE7:AG7)=0,IF(AE7&lt;AG7,0,IF(AE7=AG7,1,3)),"")</f>
        <v>3</v>
      </c>
      <c r="AI7" s="130"/>
      <c r="AJ7" s="130"/>
      <c r="AK7" s="130"/>
      <c r="AL7" s="130"/>
      <c r="AM7" s="96">
        <f>SUM(K7,O7,S7,AA7,AE7)</f>
        <v>4</v>
      </c>
      <c r="AN7" s="97" t="s">
        <v>1</v>
      </c>
      <c r="AO7" s="94">
        <f>SUM(M7,Q7,U7,AC7,AG7)</f>
        <v>8</v>
      </c>
      <c r="AP7" s="95">
        <f>H6+H10+H13+G16+G17</f>
        <v>5</v>
      </c>
      <c r="AQ7" s="92">
        <f t="shared" si="0"/>
        <v>-4</v>
      </c>
      <c r="AR7" s="90">
        <f t="shared" si="1"/>
        <v>5</v>
      </c>
      <c r="AS7" s="57"/>
      <c r="AT7" s="57"/>
      <c r="AU7" s="57"/>
      <c r="AV7" s="57"/>
      <c r="AW7" s="57"/>
      <c r="AX7" s="57"/>
      <c r="AY7" s="57"/>
      <c r="AZ7" s="57"/>
      <c r="BA7" s="58">
        <f>RANK(BL7,BL4:BL9)</f>
        <v>5</v>
      </c>
      <c r="BB7" s="54" t="str">
        <f t="shared" si="2"/>
        <v>Real Most</v>
      </c>
      <c r="BC7" s="54">
        <f t="shared" si="3"/>
        <v>5</v>
      </c>
      <c r="BD7" s="54">
        <f>SUM(IF(BC4=BC7,N7,0),IF(BC5=BC7,R7,0),IF(BC6=BC7,V7,0),IF(BC8=BC7,AD7,0),IF(BC9=BC7,AH7,0))</f>
        <v>0</v>
      </c>
      <c r="BE7" s="54">
        <f t="shared" si="4"/>
        <v>0</v>
      </c>
      <c r="BF7" s="54">
        <f>SUM(IF(BC4=BC7,K7,0),IF(BC5=BC7,O7,0),IF(BC6=BC7,S7,0),IF(BC8=BC7,AA7,0),IF(BC9=BC7,AE7,0))</f>
        <v>0</v>
      </c>
      <c r="BG7" s="54">
        <f>SUM(IF(BC4=BC7,M7,0),IF(BC5=BC7,Q7,0),IF(BC6=BC7,U7,0),IF(BC8=BC7,AC7,0),IF(BC9=BC7,AG7,0))</f>
        <v>0</v>
      </c>
      <c r="BH7" s="54">
        <f t="shared" si="5"/>
        <v>-4</v>
      </c>
      <c r="BI7" s="54">
        <f t="shared" si="6"/>
        <v>4</v>
      </c>
      <c r="BJ7" s="54">
        <f t="shared" si="7"/>
        <v>0.5</v>
      </c>
      <c r="BK7" s="55">
        <f>IF(F2&gt;0,0,IF('[1]program'!I48=BB7,0.5,IF('[1]program'!I49=BB7,0.4,IF('[1]program'!I50=BB7,0.3,IF('[1]program'!I51=BB7,0.2,IF('[1]program'!I52=BB7,0.1,0))))))</f>
        <v>0</v>
      </c>
      <c r="BL7" s="54">
        <f>1000000000*BC7+100000000*BD7+1000000*BE7+10000*BF7+100*BH7+BI7+BK7</f>
        <v>4999999604</v>
      </c>
      <c r="BM7" s="54">
        <f>10000*BC7+100*BH7+BJ7</f>
        <v>49600.5</v>
      </c>
      <c r="BN7" s="54">
        <f>RANK(BM7,BM4:BM9)</f>
        <v>5</v>
      </c>
      <c r="BO7" s="54"/>
      <c r="BP7" s="54">
        <f t="shared" si="8"/>
      </c>
      <c r="BQ7" s="54">
        <f t="shared" si="9"/>
      </c>
      <c r="BR7" s="54">
        <f t="shared" si="10"/>
      </c>
      <c r="BS7" s="54">
        <f t="shared" si="11"/>
      </c>
      <c r="BT7" s="54" t="str">
        <f t="shared" si="12"/>
        <v>Real Most</v>
      </c>
      <c r="BU7" s="54">
        <f t="shared" si="13"/>
      </c>
      <c r="BV7" s="54" t="s">
        <v>69</v>
      </c>
      <c r="BW7" s="54" t="str">
        <f>IF(COUNTBLANK(BS4:BS9)=5,BX7,"4A")</f>
        <v>Hyeny</v>
      </c>
      <c r="BX7" s="54" t="str">
        <f>IF(F2=0,IF(BY7=1,VLOOKUP(4,BA4:BB9,2,0),IF(BY7=2,"los2",IF(BY7=3,"los3","4A"))),"4A")</f>
        <v>Hyeny</v>
      </c>
      <c r="BY7" s="54">
        <f>IF(F2=0,6-COUNTBLANK(BS4:BS9),0)</f>
        <v>1</v>
      </c>
      <c r="BZ7" s="55">
        <f>IF(BY7&gt;1,IF(BS4=BB4,BB4,IF(BS5=BB5,BB5,IF(BS6=BB6,BB6,IF(BS7=BB7,BB7,IF(BS8=BB8,BB8,""))))),"")</f>
      </c>
      <c r="CA7" s="55">
        <f>IF(BY7&lt;2,"",IF(CHOOSE(MATCH(BZ7,BS4:BS9,0)+1,BS4,BS5,BS6,BS7,BS8,BS9)="",IF(CHOOSE(MATCH(BZ7,BS4:BS9,0)+2,BS4,BS5,BS6,BS7,BS8,BS9)="",IF(CHOOSE(MATCH(BZ7,BS4:BS9,0)+3,BS4,BS5,BS6,BS7,BS8,BS9)="",IF(CHOOSE(MATCH(BZ7,BS4:BS9,0)+4,BS4,BS5,BS6,BS7,BS8,BS9)="",CHOOSE(MATCH(BZ7,BS4:BS9,0)+5,BS4,BS5,BS6,BS7,BS8,BS9),CHOOSE(MATCH(BZ7,BS4:BS9,0)+4,BS4,BS5,BS6,BS7,BS8,BS9)),CHOOSE(MATCH(BZ7,BS4:BS9,0)+3,BS4,BS5,BS6,BS7,BS8,BS9)),CHOOSE(MATCH(BZ7,BS4:BS9,0)+2,BS4,BS5,BS6,BS7,BS8,BS9)),CHOOSE(MATCH(BZ7,BS4:BS9,0)+1,BS4,BS5,BS6,BS7,BS8,BS9)))</f>
      </c>
      <c r="CB7" s="55">
        <f>IF(BY7&lt;3,"",IF(CHOOSE(MATCH(CA7,BS4:BS9,0)+1,BS4,BS5,BS6,BS7,BS8,BS9)="",IF(CHOOSE(MATCH(CA7,BS4:BS9,0)+2,BS4,BS5,BS6,BS7,BS8,BS9)="",IF(CHOOSE(MATCH(CA7,BS4:BS9,0)+3,BS4,BS5,BS6,BS7,BS8,BS9)="",IF(CHOOSE(MATCH(CA7,BS4:BS9,0)+4,BS4,BS5,BS6,BS7,BS8,BS9)="",CHOOSE(MATCH(CA7,BS4:BS9,0)+5,BS4,BS5,BS6,BS7,BS8,BS9),CHOOSE(MATCH(CA7,BS4:BS9,0)+4,BS4,BS5,BS6,BS7,BS8,BS9)),CHOOSE(MATCH(CA7,BS4:BS9,0)+3,BS4,BS5,BS6,BS7,BS8,BS9)),CHOOSE(MATCH(CA7,BS4:BS9,0)+2,BS4,BS5,BS6,BS7,BS8,BS9)),CHOOSE(MATCH(CA7,BS4:BS9,0)+1,BS4,BS5,BS6,BS7,BS8,BS9)))</f>
      </c>
      <c r="CC7" s="55"/>
      <c r="CD7" s="55"/>
      <c r="CE7" s="54"/>
    </row>
    <row r="8" spans="1:83" ht="19.5" customHeight="1">
      <c r="A8" s="54"/>
      <c r="B8" s="65" t="str">
        <f>Týmy!$B$4</f>
        <v>Hyeny</v>
      </c>
      <c r="C8" s="62">
        <f>$AE$4</f>
        <v>0</v>
      </c>
      <c r="D8" s="89" t="s">
        <v>1</v>
      </c>
      <c r="E8" s="63">
        <f>$AG$4</f>
        <v>0</v>
      </c>
      <c r="F8" s="65" t="str">
        <f>Týmy!$B$9</f>
        <v>Kralda team</v>
      </c>
      <c r="G8" s="64">
        <f t="shared" si="14"/>
        <v>1</v>
      </c>
      <c r="H8" s="64">
        <f t="shared" si="15"/>
        <v>1</v>
      </c>
      <c r="I8" s="54"/>
      <c r="J8" s="81" t="str">
        <f>Týmy!$B$8</f>
        <v>FOSY </v>
      </c>
      <c r="K8" s="26">
        <f>$AC$4</f>
        <v>2</v>
      </c>
      <c r="L8" s="27" t="s">
        <v>1</v>
      </c>
      <c r="M8" s="28">
        <f>$AA$4</f>
        <v>3</v>
      </c>
      <c r="N8" s="60">
        <f>IF(COUNTBLANK(K8:M8)=0,IF(K8&lt;M8,0,IF(K8=M8,1,3)),"")</f>
        <v>0</v>
      </c>
      <c r="O8" s="26">
        <f>$AC$5</f>
        <v>0</v>
      </c>
      <c r="P8" s="27" t="s">
        <v>1</v>
      </c>
      <c r="Q8" s="28">
        <f>$AA$5</f>
        <v>1</v>
      </c>
      <c r="R8" s="60">
        <f>IF(COUNTBLANK(O8:Q8)=0,IF(O8&lt;Q8,0,IF(O8=Q8,1,3)),"")</f>
        <v>0</v>
      </c>
      <c r="S8" s="26">
        <f>$AC$6</f>
        <v>0</v>
      </c>
      <c r="T8" s="27" t="s">
        <v>1</v>
      </c>
      <c r="U8" s="28">
        <f>$AA$6</f>
        <v>3</v>
      </c>
      <c r="V8" s="60">
        <f>IF(COUNTBLANK(S8:U8)=0,IF(S8&lt;U8,0,IF(S8=U8,1,3)),"")</f>
        <v>0</v>
      </c>
      <c r="W8" s="26">
        <f>$AC$7</f>
        <v>1</v>
      </c>
      <c r="X8" s="27" t="s">
        <v>1</v>
      </c>
      <c r="Y8" s="28">
        <f>$AA$7</f>
        <v>1</v>
      </c>
      <c r="Z8" s="60">
        <f>IF(COUNTBLANK(W8:Y8)=0,IF(W8&lt;Y8,0,IF(W8=Y8,1,3)),"")</f>
        <v>1</v>
      </c>
      <c r="AA8" s="207" t="s">
        <v>19</v>
      </c>
      <c r="AB8" s="208"/>
      <c r="AC8" s="209"/>
      <c r="AD8" s="122"/>
      <c r="AE8" s="11">
        <f>IF(ISBLANK(Výsledky!E4),"",Výsledky!E4)</f>
        <v>0</v>
      </c>
      <c r="AF8" s="9" t="s">
        <v>1</v>
      </c>
      <c r="AG8" s="10">
        <f>IF(ISBLANK(Výsledky!G4),"",Výsledky!G4)</f>
        <v>1</v>
      </c>
      <c r="AH8" s="150">
        <f>IF(COUNTBLANK(AE8:AG8)=0,IF(AE8&lt;AG8,0,IF(AE8=AG8,1,3)),"")</f>
        <v>0</v>
      </c>
      <c r="AI8" s="130"/>
      <c r="AJ8" s="130"/>
      <c r="AK8" s="130"/>
      <c r="AL8" s="130"/>
      <c r="AM8" s="96">
        <f>SUM(K8,O8,S8,W8,AE8)</f>
        <v>3</v>
      </c>
      <c r="AN8" s="97" t="s">
        <v>1</v>
      </c>
      <c r="AO8" s="94">
        <f>SUM(M8,Q8,U8,Y8,AG8)</f>
        <v>9</v>
      </c>
      <c r="AP8" s="95">
        <f>H7+H11+H14+H16+G18</f>
        <v>1</v>
      </c>
      <c r="AQ8" s="92">
        <f t="shared" si="0"/>
        <v>-6</v>
      </c>
      <c r="AR8" s="90">
        <f t="shared" si="1"/>
        <v>6</v>
      </c>
      <c r="AS8" s="54"/>
      <c r="AT8" s="54"/>
      <c r="AU8" s="54"/>
      <c r="AV8" s="54"/>
      <c r="AW8" s="54"/>
      <c r="AX8" s="54"/>
      <c r="AY8" s="54"/>
      <c r="AZ8" s="54"/>
      <c r="BA8" s="58">
        <f>RANK(BL8,BL4:BL9)</f>
        <v>6</v>
      </c>
      <c r="BB8" s="54" t="str">
        <f t="shared" si="2"/>
        <v>FOSY </v>
      </c>
      <c r="BC8" s="54">
        <f t="shared" si="3"/>
        <v>1</v>
      </c>
      <c r="BD8" s="54">
        <f>SUM(IF(BC4=BC8,N8,0),IF(BC5=BC8,R8,0),IF(BC6=BC8,V8,0),IF(BC7=BC8,Z8,0),IF(BC9=BC8,AH8,0))</f>
        <v>0</v>
      </c>
      <c r="BE8" s="54">
        <f t="shared" si="4"/>
        <v>0</v>
      </c>
      <c r="BF8" s="54">
        <f>SUM(IF(BC4=BC8,K8,0),IF(BC5=BC8,O8,0),IF(BC6=BC8,S8,0),IF(BC7=BC8,W8,0),IF(BC9=BC8,AE8,0))</f>
        <v>0</v>
      </c>
      <c r="BG8" s="54">
        <f>SUM(IF(BC4=BC8,M8,0),IF(BC5=BC8,Q8,0),IF(BC6=BC8,U8,0),IF(BC7=BC8,Y8,0),IF(BC9=BC8,AG8,0))</f>
        <v>0</v>
      </c>
      <c r="BH8" s="54">
        <f t="shared" si="5"/>
        <v>-6</v>
      </c>
      <c r="BI8" s="54">
        <f t="shared" si="6"/>
        <v>3</v>
      </c>
      <c r="BJ8" s="54">
        <f t="shared" si="7"/>
        <v>0.3333333333333333</v>
      </c>
      <c r="BK8" s="55">
        <f>IF(F2&gt;0,0,IF('[1]program'!I48=BB8,0.5,IF('[1]program'!I49=BB8,0.4,IF('[1]program'!I50=BB8,0.3,IF('[1]program'!I51=BB8,0.2,IF('[1]program'!I52=BB8,0.1,0))))))</f>
        <v>0</v>
      </c>
      <c r="BL8" s="54">
        <f>1000000000*BC8+100000000*BD8+1000000*BE8+10000*BF8+100*BH8+BI8+BK8</f>
        <v>999999403</v>
      </c>
      <c r="BM8" s="54">
        <f>10000*BC8+100*BH8+BJ8</f>
        <v>9400.333333333334</v>
      </c>
      <c r="BN8" s="54">
        <f>RANK(BM8,BM4:BM9)</f>
        <v>6</v>
      </c>
      <c r="BO8" s="54"/>
      <c r="BP8" s="54">
        <f t="shared" si="8"/>
      </c>
      <c r="BQ8" s="54">
        <f t="shared" si="9"/>
      </c>
      <c r="BR8" s="54">
        <f t="shared" si="10"/>
      </c>
      <c r="BS8" s="54">
        <f t="shared" si="11"/>
      </c>
      <c r="BT8" s="54">
        <f t="shared" si="12"/>
      </c>
      <c r="BU8" s="54" t="str">
        <f t="shared" si="13"/>
        <v>FOSY </v>
      </c>
      <c r="BV8" s="54" t="s">
        <v>70</v>
      </c>
      <c r="BW8" s="54" t="str">
        <f>IF(COUNTBLANK(BT4:BT9)=5,BX8,"5A")</f>
        <v>Real Most</v>
      </c>
      <c r="BX8" s="54" t="str">
        <f>IF(F2=0,IF(BY8=1,VLOOKUP(5,BA4:BB9,2,0),IF(BY8=2,"los2","5A")),"5A")</f>
        <v>Real Most</v>
      </c>
      <c r="BY8" s="54">
        <f>IF(F2=0,6-COUNTBLANK(BT4:BT9),0)</f>
        <v>1</v>
      </c>
      <c r="BZ8" s="54">
        <f>IF(BY8=2,IF(BA4=5,BB4,IF(BA5=5,BB5,IF(BA6=5,BB6,IF(BA7=5,BB7,BB8)))),"")</f>
      </c>
      <c r="CA8" s="55">
        <f>IF(BY8&lt;2,"",IF(CHOOSE(MATCH(BZ8,BT4:BT9,0)+1,BT4,BT5,BT6,BT7,BT8,BT9)="",IF(CHOOSE(MATCH(BZ8,BT4:BT9,0)+2,BT4,BT5,BT6,BT7,BT8,BT9)="",IF(CHOOSE(MATCH(BZ8,BT4:BT9,0)+3,BT4,BT5,BT6,BT7,BT8,BT9)="",IF(CHOOSE(MATCH(BZ8,BT4:BT9,0)+4,BT4,BT5,BT6,BT7,BT8,BT9)="",CHOOSE(MATCH(BZ8,BT4:BT9,0)+5,BT4,BT5,BT6,BT7,BT8,BT9),CHOOSE(MATCH(BZ8,BT4:BT9,0)+4,BT4,BT5,BT6,BT7,BT8,BT9)),CHOOSE(MATCH(BZ8,BT4:BT9,0)+3,BT4,BT5,BT6,BT7,BT8,BT9)),CHOOSE(MATCH(BZ8,BT4:BT9,0)+2,BT4,BT5,BT6,BT7,BT8,BT9)),CHOOSE(MATCH(BZ8,BT4:BT9,0)+1,BT4,BT5,BT6,BT7,BT8,BT9)))</f>
      </c>
      <c r="CB8" s="55"/>
      <c r="CC8" s="55"/>
      <c r="CD8" s="55"/>
      <c r="CE8" s="54"/>
    </row>
    <row r="9" spans="1:83" ht="19.5" customHeight="1" thickBot="1">
      <c r="A9" s="54"/>
      <c r="B9" s="65" t="str">
        <f>Týmy!$B$5</f>
        <v>Mako Litvínov</v>
      </c>
      <c r="C9" s="62">
        <f>$S$5</f>
        <v>1</v>
      </c>
      <c r="D9" s="89" t="s">
        <v>1</v>
      </c>
      <c r="E9" s="63">
        <f>$U$5</f>
        <v>2</v>
      </c>
      <c r="F9" s="65" t="str">
        <f>Týmy!$B$6</f>
        <v>FCH Most</v>
      </c>
      <c r="G9" s="64">
        <f t="shared" si="14"/>
        <v>0</v>
      </c>
      <c r="H9" s="64">
        <f t="shared" si="15"/>
        <v>3</v>
      </c>
      <c r="I9" s="54"/>
      <c r="J9" s="83" t="str">
        <f>Týmy!$B$9</f>
        <v>Kralda team</v>
      </c>
      <c r="K9" s="84">
        <f>$AG$4</f>
        <v>0</v>
      </c>
      <c r="L9" s="85" t="s">
        <v>1</v>
      </c>
      <c r="M9" s="86">
        <f>$AE$4</f>
        <v>0</v>
      </c>
      <c r="N9" s="87">
        <f>IF(COUNTBLANK(K9:M9)=0,IF(K9&lt;M9,0,IF(K9=M9,1,3)),"")</f>
        <v>1</v>
      </c>
      <c r="O9" s="84">
        <f>$AG$5</f>
        <v>1</v>
      </c>
      <c r="P9" s="85" t="s">
        <v>1</v>
      </c>
      <c r="Q9" s="86">
        <f>$AE$5</f>
        <v>0</v>
      </c>
      <c r="R9" s="87">
        <f>IF(COUNTBLANK(O9:Q9)=0,IF(O9&lt;Q9,0,IF(O9=Q9,1,3)),"")</f>
        <v>3</v>
      </c>
      <c r="S9" s="84">
        <f>$AG$6</f>
        <v>3</v>
      </c>
      <c r="T9" s="85" t="s">
        <v>1</v>
      </c>
      <c r="U9" s="86">
        <f>$AE$6</f>
        <v>0</v>
      </c>
      <c r="V9" s="87">
        <f>IF(COUNTBLANK(S9:U9)=0,IF(S9&lt;U9,0,IF(S9=U9,1,3)),"")</f>
        <v>3</v>
      </c>
      <c r="W9" s="84">
        <f>$AG$7</f>
        <v>0</v>
      </c>
      <c r="X9" s="85" t="s">
        <v>1</v>
      </c>
      <c r="Y9" s="86">
        <f>$AE$7</f>
        <v>1</v>
      </c>
      <c r="Z9" s="87">
        <f>IF(COUNTBLANK(W9:Y9)=0,IF(W9&lt;Y9,0,IF(W9=Y9,1,3)),"")</f>
        <v>0</v>
      </c>
      <c r="AA9" s="84">
        <f>$AG$8</f>
        <v>1</v>
      </c>
      <c r="AB9" s="85" t="s">
        <v>1</v>
      </c>
      <c r="AC9" s="86">
        <f>$AE$8</f>
        <v>0</v>
      </c>
      <c r="AD9" s="87">
        <f>IF(COUNTBLANK(AA9:AC9)=0,IF(AA9&lt;AC9,0,IF(AA9=AC9,1,3)),"")</f>
        <v>3</v>
      </c>
      <c r="AE9" s="221" t="s">
        <v>19</v>
      </c>
      <c r="AF9" s="222"/>
      <c r="AG9" s="223"/>
      <c r="AH9" s="148"/>
      <c r="AI9" s="88"/>
      <c r="AJ9" s="88"/>
      <c r="AK9" s="88"/>
      <c r="AL9" s="88"/>
      <c r="AM9" s="98">
        <f>SUM(K9,O9,S9,W9,AA9)</f>
        <v>5</v>
      </c>
      <c r="AN9" s="99" t="s">
        <v>1</v>
      </c>
      <c r="AO9" s="100">
        <f>SUM(M9,Q9,U9,Y9,AC9)</f>
        <v>1</v>
      </c>
      <c r="AP9" s="101">
        <f>H8+H12+H15+H18+H17</f>
        <v>10</v>
      </c>
      <c r="AQ9" s="98">
        <f t="shared" si="0"/>
        <v>4</v>
      </c>
      <c r="AR9" s="91">
        <f t="shared" si="1"/>
        <v>2</v>
      </c>
      <c r="AS9" s="54"/>
      <c r="AT9" s="54"/>
      <c r="AU9" s="54"/>
      <c r="AV9" s="54"/>
      <c r="AW9" s="54"/>
      <c r="AX9" s="54"/>
      <c r="AY9" s="54"/>
      <c r="AZ9" s="54"/>
      <c r="BA9" s="58">
        <f>RANK(BL9,BL4:BL9)</f>
        <v>2</v>
      </c>
      <c r="BB9" s="54" t="str">
        <f t="shared" si="2"/>
        <v>Kralda team</v>
      </c>
      <c r="BC9" s="54">
        <f t="shared" si="3"/>
        <v>10</v>
      </c>
      <c r="BD9" s="54">
        <f>IF(F2&gt;0,0,IF(BC4=BC9,N9,0)+IF(BC5=BC9,R9,0)+IF(BC6=BC9,V9,0)+IF(BC7=BC9,Z9,0)+IF(BC8=BC9,AD9,0))</f>
        <v>0</v>
      </c>
      <c r="BE9" s="54">
        <f t="shared" si="4"/>
        <v>0</v>
      </c>
      <c r="BF9" s="54">
        <f>SUM(IF(BC4=BC9,K9,0),IF(BC5=BC9,O9,0),IF(BC6=BC9,S9,0),IF(BC7=BC9,W9,0),IF(BC8=BC9,AA9,0))</f>
        <v>0</v>
      </c>
      <c r="BG9" s="54">
        <f>SUM(IF(BC4=BC9,M9,0),IF(BC5=BC9,Q9,0),IF(BC6=BC9,U9,0),IF(BC7=BC9,Y9,0),IF(BC8=BC9,AC9,0))</f>
        <v>0</v>
      </c>
      <c r="BH9" s="54">
        <f t="shared" si="5"/>
        <v>4</v>
      </c>
      <c r="BI9" s="54">
        <f t="shared" si="6"/>
        <v>5</v>
      </c>
      <c r="BJ9" s="54">
        <f t="shared" si="7"/>
        <v>5</v>
      </c>
      <c r="BK9" s="55">
        <f>IF(F2&gt;0,0,IF('[1]program'!I48=BB9,0.5,IF('[1]program'!I49=BB9,0.4,IF('[1]program'!I50=BB9,0.3,IF('[1]program'!I51=BB9,0.2,IF('[1]program'!I52=BB9,0.1,0))))))</f>
        <v>0</v>
      </c>
      <c r="BL9" s="54">
        <f>1000000000*BC9+100000000*BD9+1000000*BE9+10000*BF9+100*BH9+BI9+BK9</f>
        <v>10000000405</v>
      </c>
      <c r="BM9" s="54">
        <f>10000*BC9+100*BH9+BJ9</f>
        <v>100405</v>
      </c>
      <c r="BN9" s="54">
        <f>RANK(BM9,BM4:BM9)</f>
        <v>3</v>
      </c>
      <c r="BO9" s="54"/>
      <c r="BP9" s="54">
        <f t="shared" si="8"/>
      </c>
      <c r="BQ9" s="54" t="str">
        <f t="shared" si="9"/>
        <v>Kralda team</v>
      </c>
      <c r="BR9" s="54">
        <f t="shared" si="10"/>
      </c>
      <c r="BS9" s="54">
        <f t="shared" si="11"/>
      </c>
      <c r="BT9" s="54">
        <f t="shared" si="12"/>
      </c>
      <c r="BU9" s="54">
        <f t="shared" si="13"/>
      </c>
      <c r="BV9" s="54" t="s">
        <v>71</v>
      </c>
      <c r="BW9" s="54" t="str">
        <f>IF(COUNTBLANK(BU4:BU9)=5,BX9,"6A")</f>
        <v>FOSY </v>
      </c>
      <c r="BX9" s="54" t="str">
        <f>IF(F2=0,IF(BY9=1,VLOOKUP(6,BA4:BB9,2,0),"6A"),"6A")</f>
        <v>FOSY </v>
      </c>
      <c r="BY9" s="54">
        <f>IF(F2=0,6-COUNTBLANK(BU4:BU9),0)</f>
        <v>1</v>
      </c>
      <c r="BZ9" s="54"/>
      <c r="CA9" s="54"/>
      <c r="CB9" s="54"/>
      <c r="CC9" s="54"/>
      <c r="CD9" s="54"/>
      <c r="CE9" s="54"/>
    </row>
    <row r="10" spans="1:83" ht="19.5" customHeight="1" thickTop="1">
      <c r="A10" s="54"/>
      <c r="B10" s="65" t="str">
        <f>Týmy!$B$5</f>
        <v>Mako Litvínov</v>
      </c>
      <c r="C10" s="62">
        <f>$W$5</f>
        <v>1</v>
      </c>
      <c r="D10" s="89" t="s">
        <v>1</v>
      </c>
      <c r="E10" s="63">
        <f>$Y$5</f>
        <v>1</v>
      </c>
      <c r="F10" s="65" t="str">
        <f>Týmy!$B$7</f>
        <v>Real Most</v>
      </c>
      <c r="G10" s="64">
        <f t="shared" si="14"/>
        <v>1</v>
      </c>
      <c r="H10" s="64">
        <f t="shared" si="15"/>
        <v>1</v>
      </c>
      <c r="I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ht="19.5" customHeight="1" hidden="1">
      <c r="A11" s="54"/>
      <c r="B11" s="65" t="str">
        <f>Týmy!$B$5</f>
        <v>Mako Litvínov</v>
      </c>
      <c r="C11" s="62">
        <f>$AA$5</f>
        <v>1</v>
      </c>
      <c r="D11" s="89" t="s">
        <v>1</v>
      </c>
      <c r="E11" s="63">
        <f>$AC$5</f>
        <v>0</v>
      </c>
      <c r="F11" s="65" t="str">
        <f>Týmy!$B$8</f>
        <v>FOSY </v>
      </c>
      <c r="G11" s="64">
        <f t="shared" si="14"/>
        <v>3</v>
      </c>
      <c r="H11" s="64">
        <f t="shared" si="15"/>
        <v>0</v>
      </c>
      <c r="I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ht="19.5" customHeight="1" hidden="1">
      <c r="A12" s="54"/>
      <c r="B12" s="65" t="str">
        <f>Týmy!$B$5</f>
        <v>Mako Litvínov</v>
      </c>
      <c r="C12" s="62">
        <f>$AE$5</f>
        <v>0</v>
      </c>
      <c r="D12" s="89" t="s">
        <v>1</v>
      </c>
      <c r="E12" s="63">
        <f>$AG$5</f>
        <v>1</v>
      </c>
      <c r="F12" s="65" t="str">
        <f>Týmy!$B$9</f>
        <v>Kralda team</v>
      </c>
      <c r="G12" s="64">
        <f t="shared" si="14"/>
        <v>0</v>
      </c>
      <c r="H12" s="64">
        <f t="shared" si="15"/>
        <v>3</v>
      </c>
      <c r="I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ht="19.5" customHeight="1" hidden="1">
      <c r="A13" s="54"/>
      <c r="B13" s="65" t="str">
        <f>Týmy!$B$6</f>
        <v>FCH Most</v>
      </c>
      <c r="C13" s="62">
        <f>$W$6</f>
        <v>3</v>
      </c>
      <c r="D13" s="89" t="s">
        <v>1</v>
      </c>
      <c r="E13" s="63">
        <f>$Y$6</f>
        <v>0</v>
      </c>
      <c r="F13" s="65" t="str">
        <f>Týmy!$B$7</f>
        <v>Real Most</v>
      </c>
      <c r="G13" s="64">
        <f t="shared" si="14"/>
        <v>3</v>
      </c>
      <c r="H13" s="64">
        <f t="shared" si="15"/>
        <v>0</v>
      </c>
      <c r="I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19.5" customHeight="1" hidden="1">
      <c r="A14" s="54"/>
      <c r="B14" s="65" t="str">
        <f>Týmy!$B$6</f>
        <v>FCH Most</v>
      </c>
      <c r="C14" s="62">
        <f>$AA$6</f>
        <v>3</v>
      </c>
      <c r="D14" s="89" t="s">
        <v>1</v>
      </c>
      <c r="E14" s="63">
        <f>$AC$6</f>
        <v>0</v>
      </c>
      <c r="F14" s="65" t="str">
        <f>Týmy!$B$8</f>
        <v>FOSY </v>
      </c>
      <c r="G14" s="64">
        <f t="shared" si="14"/>
        <v>3</v>
      </c>
      <c r="H14" s="64">
        <f t="shared" si="15"/>
        <v>0</v>
      </c>
      <c r="I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ht="19.5" customHeight="1" hidden="1">
      <c r="A15" s="54"/>
      <c r="B15" s="65" t="str">
        <f>Týmy!$B$6</f>
        <v>FCH Most</v>
      </c>
      <c r="C15" s="62">
        <f>$AE$6</f>
        <v>0</v>
      </c>
      <c r="D15" s="89" t="s">
        <v>1</v>
      </c>
      <c r="E15" s="63">
        <f>$AG$6</f>
        <v>3</v>
      </c>
      <c r="F15" s="65" t="str">
        <f>Týmy!$B$9</f>
        <v>Kralda team</v>
      </c>
      <c r="G15" s="64">
        <f t="shared" si="14"/>
        <v>0</v>
      </c>
      <c r="H15" s="64">
        <f t="shared" si="15"/>
        <v>3</v>
      </c>
      <c r="I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ht="19.5" customHeight="1" hidden="1">
      <c r="A16" s="54"/>
      <c r="B16" s="65" t="str">
        <f>Týmy!$B$7</f>
        <v>Real Most</v>
      </c>
      <c r="C16" s="62">
        <f>$AA$7</f>
        <v>1</v>
      </c>
      <c r="D16" s="89" t="s">
        <v>1</v>
      </c>
      <c r="E16" s="63">
        <f>$AC$7</f>
        <v>1</v>
      </c>
      <c r="F16" s="65" t="str">
        <f>Týmy!$B$8</f>
        <v>FOSY </v>
      </c>
      <c r="G16" s="64">
        <f t="shared" si="14"/>
        <v>1</v>
      </c>
      <c r="H16" s="64">
        <f t="shared" si="15"/>
        <v>1</v>
      </c>
      <c r="I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ht="19.5" customHeight="1" hidden="1">
      <c r="A17" s="54"/>
      <c r="B17" s="65" t="str">
        <f>Týmy!$B$7</f>
        <v>Real Most</v>
      </c>
      <c r="C17" s="62">
        <f>$AE$7</f>
        <v>1</v>
      </c>
      <c r="D17" s="89" t="s">
        <v>1</v>
      </c>
      <c r="E17" s="63">
        <f>$AG$7</f>
        <v>0</v>
      </c>
      <c r="F17" s="65" t="str">
        <f>Týmy!$B$9</f>
        <v>Kralda team</v>
      </c>
      <c r="G17" s="64">
        <f t="shared" si="14"/>
        <v>3</v>
      </c>
      <c r="H17" s="64">
        <f t="shared" si="15"/>
        <v>0</v>
      </c>
      <c r="I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72" customFormat="1" ht="19.5" customHeight="1" hidden="1">
      <c r="A18" s="67"/>
      <c r="B18" s="69" t="str">
        <f>Týmy!$B$8</f>
        <v>FOSY </v>
      </c>
      <c r="C18" s="70">
        <f>$AE$8</f>
        <v>0</v>
      </c>
      <c r="D18" s="132" t="s">
        <v>1</v>
      </c>
      <c r="E18" s="71">
        <f>$AG$8</f>
        <v>1</v>
      </c>
      <c r="F18" s="69" t="str">
        <f>Týmy!$B$9</f>
        <v>Kralda team</v>
      </c>
      <c r="G18" s="64">
        <f t="shared" si="14"/>
        <v>0</v>
      </c>
      <c r="H18" s="64">
        <f t="shared" si="15"/>
        <v>3</v>
      </c>
      <c r="I18" s="67"/>
      <c r="N18" s="73"/>
      <c r="R18" s="73"/>
      <c r="V18" s="73"/>
      <c r="Z18" s="73"/>
      <c r="AD18" s="73"/>
      <c r="AH18" s="73"/>
      <c r="AI18" s="73"/>
      <c r="AJ18" s="73"/>
      <c r="AK18" s="73"/>
      <c r="AL18" s="73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</row>
    <row r="19" spans="1:83" s="66" customFormat="1" ht="19.5" customHeight="1" hidden="1">
      <c r="A19" s="57"/>
      <c r="B19" s="134"/>
      <c r="C19" s="135"/>
      <c r="D19" s="136"/>
      <c r="E19" s="137"/>
      <c r="F19" s="134"/>
      <c r="G19" s="135"/>
      <c r="H19" s="135"/>
      <c r="I19" s="57"/>
      <c r="N19" s="39"/>
      <c r="R19" s="39"/>
      <c r="V19" s="39"/>
      <c r="Z19" s="39"/>
      <c r="AD19" s="39"/>
      <c r="AH19" s="39"/>
      <c r="AI19" s="39"/>
      <c r="AJ19" s="39"/>
      <c r="AK19" s="39"/>
      <c r="AL19" s="39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</row>
    <row r="20" spans="1:83" s="66" customFormat="1" ht="19.5" customHeight="1" hidden="1">
      <c r="A20" s="57"/>
      <c r="B20" s="61" t="s">
        <v>44</v>
      </c>
      <c r="C20" s="61" t="s">
        <v>20</v>
      </c>
      <c r="D20" s="89"/>
      <c r="E20" s="63"/>
      <c r="F20" s="62">
        <f>COUNTBLANK(C22:E42)</f>
        <v>0</v>
      </c>
      <c r="G20" s="62"/>
      <c r="H20" s="62"/>
      <c r="I20" s="57"/>
      <c r="N20" s="39"/>
      <c r="R20" s="39"/>
      <c r="V20" s="39"/>
      <c r="Z20" s="39"/>
      <c r="AD20" s="39"/>
      <c r="AH20" s="39"/>
      <c r="AI20" s="39"/>
      <c r="AJ20" s="39"/>
      <c r="AK20" s="39"/>
      <c r="AL20" s="39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</row>
    <row r="21" spans="2:65" ht="19.5" customHeight="1" thickBot="1">
      <c r="B21" s="149"/>
      <c r="C21" s="149"/>
      <c r="D21" s="152"/>
      <c r="E21" s="149"/>
      <c r="F21" s="149"/>
      <c r="G21" s="64" t="s">
        <v>45</v>
      </c>
      <c r="H21" s="64" t="s">
        <v>46</v>
      </c>
      <c r="BL21" s="149"/>
      <c r="BM21" s="149"/>
    </row>
    <row r="22" spans="2:84" s="34" customFormat="1" ht="19.5" customHeight="1" thickTop="1">
      <c r="B22" s="149">
        <v>7</v>
      </c>
      <c r="C22" s="149">
        <f>$O$23</f>
        <v>1</v>
      </c>
      <c r="D22" s="152" t="s">
        <v>1</v>
      </c>
      <c r="E22" s="149">
        <f>$Q$23</f>
        <v>0</v>
      </c>
      <c r="F22" s="149">
        <v>8</v>
      </c>
      <c r="G22" s="64">
        <f>IF(COUNTBLANK(C22:E22)&gt;0,0,IF(C22&gt;E22,3,IF(C22=E22,1,0)))</f>
        <v>3</v>
      </c>
      <c r="H22" s="64">
        <f>IF(COUNTBLANK(C22:E22)&gt;0,0,IF(C22&lt;E22,3,IF(C22=E22,1,0)))</f>
        <v>0</v>
      </c>
      <c r="J22" s="78" t="s">
        <v>20</v>
      </c>
      <c r="K22" s="213" t="str">
        <f>Týmy!$B$10</f>
        <v>Partizan Most</v>
      </c>
      <c r="L22" s="214"/>
      <c r="M22" s="215"/>
      <c r="N22" s="13"/>
      <c r="O22" s="213" t="str">
        <f>Týmy!$B$11</f>
        <v>Sp.Chomutov U-18</v>
      </c>
      <c r="P22" s="214"/>
      <c r="Q22" s="215"/>
      <c r="R22" s="13"/>
      <c r="S22" s="210" t="str">
        <f>Týmy!$B$12</f>
        <v>Gamblers Most</v>
      </c>
      <c r="T22" s="211"/>
      <c r="U22" s="212"/>
      <c r="V22" s="13"/>
      <c r="W22" s="210" t="str">
        <f>Týmy!$B$13</f>
        <v>Kopisty</v>
      </c>
      <c r="X22" s="211"/>
      <c r="Y22" s="212"/>
      <c r="Z22" s="13"/>
      <c r="AA22" s="210" t="str">
        <f>Týmy!$B$14</f>
        <v>Wings</v>
      </c>
      <c r="AB22" s="211"/>
      <c r="AC22" s="212"/>
      <c r="AD22" s="13"/>
      <c r="AE22" s="210" t="str">
        <f>Týmy!$B$15</f>
        <v>St.garda H.Jiřetín</v>
      </c>
      <c r="AF22" s="211"/>
      <c r="AG22" s="212"/>
      <c r="AH22" s="79"/>
      <c r="AI22" s="219" t="str">
        <f>Týmy!$B$16</f>
        <v>st.garda FCH </v>
      </c>
      <c r="AJ22" s="220"/>
      <c r="AK22" s="220"/>
      <c r="AL22" s="79"/>
      <c r="AM22" s="213" t="s">
        <v>16</v>
      </c>
      <c r="AN22" s="214"/>
      <c r="AO22" s="215"/>
      <c r="AP22" s="79" t="s">
        <v>17</v>
      </c>
      <c r="AQ22" s="68" t="s">
        <v>47</v>
      </c>
      <c r="AR22" s="80" t="s">
        <v>18</v>
      </c>
      <c r="BA22" s="57" t="s">
        <v>48</v>
      </c>
      <c r="BB22" s="54"/>
      <c r="BC22" s="54" t="s">
        <v>43</v>
      </c>
      <c r="BD22" s="54" t="s">
        <v>49</v>
      </c>
      <c r="BE22" s="54" t="s">
        <v>50</v>
      </c>
      <c r="BF22" s="54" t="s">
        <v>51</v>
      </c>
      <c r="BG22" s="54" t="s">
        <v>52</v>
      </c>
      <c r="BH22" s="54" t="s">
        <v>53</v>
      </c>
      <c r="BI22" s="54" t="s">
        <v>54</v>
      </c>
      <c r="BJ22" s="54" t="s">
        <v>55</v>
      </c>
      <c r="BK22" s="54" t="s">
        <v>56</v>
      </c>
      <c r="BL22" s="54" t="s">
        <v>57</v>
      </c>
      <c r="BM22" s="54" t="s">
        <v>58</v>
      </c>
      <c r="BN22" s="54" t="s">
        <v>59</v>
      </c>
      <c r="BO22" s="54"/>
      <c r="BP22" s="54" t="s">
        <v>60</v>
      </c>
      <c r="BQ22" s="54" t="s">
        <v>61</v>
      </c>
      <c r="BR22" s="54" t="s">
        <v>62</v>
      </c>
      <c r="BS22" s="54" t="s">
        <v>63</v>
      </c>
      <c r="BT22" s="54" t="s">
        <v>64</v>
      </c>
      <c r="BU22" s="54" t="s">
        <v>65</v>
      </c>
      <c r="BV22" s="55" t="s">
        <v>81</v>
      </c>
      <c r="BW22" s="54"/>
      <c r="BX22" s="54"/>
      <c r="BY22" s="54"/>
      <c r="BZ22" s="54"/>
      <c r="CA22" s="54">
        <v>1</v>
      </c>
      <c r="CB22" s="54">
        <v>2</v>
      </c>
      <c r="CC22" s="54">
        <v>3</v>
      </c>
      <c r="CD22" s="54">
        <v>4</v>
      </c>
      <c r="CE22" s="54">
        <v>5</v>
      </c>
      <c r="CF22" s="54">
        <v>6</v>
      </c>
    </row>
    <row r="23" spans="2:84" s="34" customFormat="1" ht="19.5" customHeight="1">
      <c r="B23" s="149">
        <v>7</v>
      </c>
      <c r="C23" s="149">
        <f>$S$23</f>
        <v>1</v>
      </c>
      <c r="D23" s="152" t="s">
        <v>1</v>
      </c>
      <c r="E23" s="149">
        <f>$U$23</f>
        <v>1</v>
      </c>
      <c r="F23" s="149">
        <v>9</v>
      </c>
      <c r="G23" s="64">
        <f aca="true" t="shared" si="16" ref="G23:G42">IF(COUNTBLANK(C23:E23)&gt;0,0,IF(C23&gt;E23,3,IF(C23=E23,1,0)))</f>
        <v>1</v>
      </c>
      <c r="H23" s="64">
        <f aca="true" t="shared" si="17" ref="H23:H42">IF(COUNTBLANK(C23:E23)&gt;0,0,IF(C23&lt;E23,3,IF(C23=E23,1,0)))</f>
        <v>1</v>
      </c>
      <c r="J23" s="81" t="str">
        <f>Týmy!$B$10</f>
        <v>Partizan Most</v>
      </c>
      <c r="K23" s="198" t="s">
        <v>20</v>
      </c>
      <c r="L23" s="199"/>
      <c r="M23" s="200"/>
      <c r="N23" s="121"/>
      <c r="O23" s="11">
        <f>IF(ISBLANK(Výsledky!E19),"",Výsledky!E19)</f>
        <v>1</v>
      </c>
      <c r="P23" s="9" t="s">
        <v>1</v>
      </c>
      <c r="Q23" s="10">
        <f>IF(ISBLANK(Výsledky!G19),"",Výsledky!G19)</f>
        <v>0</v>
      </c>
      <c r="R23" s="60">
        <f>IF(COUNTBLANK(O23:Q23)=0,IF(O23&lt;Q23,0,IF(O23=Q23,1,3)),"")</f>
        <v>3</v>
      </c>
      <c r="S23" s="26">
        <f>IF(ISBLANK(Výsledky!E26),"",Výsledky!E26)</f>
        <v>1</v>
      </c>
      <c r="T23" s="27" t="s">
        <v>1</v>
      </c>
      <c r="U23" s="28">
        <f>IF(ISBLANK(Výsledky!G26),"",Výsledky!G26)</f>
        <v>1</v>
      </c>
      <c r="V23" s="60">
        <f>IF(COUNTBLANK(S23:U23)=0,IF(S23&lt;U23,0,IF(S23=U23,1,3)),"")</f>
        <v>1</v>
      </c>
      <c r="W23" s="26">
        <f>IF(ISBLANK(Výsledky!E32),"",Výsledky!E32)</f>
        <v>0</v>
      </c>
      <c r="X23" s="27" t="s">
        <v>1</v>
      </c>
      <c r="Y23" s="28">
        <f>IF(ISBLANK(Výsledky!G32),"",Výsledky!G32)</f>
        <v>1</v>
      </c>
      <c r="Z23" s="60">
        <f>IF(COUNTBLANK(W23:Y23)=0,IF(W23&lt;Y23,0,IF(W23=Y23,1,3)),"")</f>
        <v>0</v>
      </c>
      <c r="AA23" s="26">
        <f>IF(ISBLANK(Výsledky!E36),"",Výsledky!E36)</f>
        <v>0</v>
      </c>
      <c r="AB23" s="27" t="s">
        <v>1</v>
      </c>
      <c r="AC23" s="28">
        <f>IF(ISBLANK(Výsledky!G36),"",Výsledky!G36)</f>
        <v>3</v>
      </c>
      <c r="AD23" s="60">
        <f>IF(COUNTBLANK(AA23:AC23)=0,IF(AA23&lt;AC23,0,IF(AA23=AC23,1,3)),"")</f>
        <v>0</v>
      </c>
      <c r="AE23" s="26">
        <f>IF(ISBLANK(Výsledky!E29),"",Výsledky!E29)</f>
        <v>2</v>
      </c>
      <c r="AF23" s="27" t="s">
        <v>1</v>
      </c>
      <c r="AG23" s="28">
        <f>IF(ISBLANK(Výsledky!G29),"",Výsledky!G29)</f>
        <v>0</v>
      </c>
      <c r="AH23" s="150">
        <f>IF(COUNTBLANK(AE23:AG23)=0,IF(AE23&lt;AG23,0,IF(AE23=AG23,1,3)),"")</f>
        <v>3</v>
      </c>
      <c r="AI23" s="26">
        <f>IF(ISBLANK(Výsledky!E22),"",Výsledky!E22)</f>
        <v>1</v>
      </c>
      <c r="AJ23" s="147" t="s">
        <v>1</v>
      </c>
      <c r="AK23" s="28">
        <f>IF(ISBLANK(Výsledky!G22),"",Výsledky!G22)</f>
        <v>0</v>
      </c>
      <c r="AL23" s="150">
        <f aca="true" t="shared" si="18" ref="AL23:AL28">IF(COUNTBLANK(AI23:AK23)=0,IF(AI23&lt;AK23,0,IF(AI23=AK23,1,3)),"")</f>
        <v>3</v>
      </c>
      <c r="AM23" s="92">
        <f>SUM(O23,S23,W23,AA23,AE23,AI23)</f>
        <v>5</v>
      </c>
      <c r="AN23" s="93" t="s">
        <v>1</v>
      </c>
      <c r="AO23" s="94">
        <f>SUM(Q23,U23,Y23,AC23,AG23,AK23)</f>
        <v>5</v>
      </c>
      <c r="AP23" s="95">
        <f>G22+G23+G24+G25+G26+G27</f>
        <v>10</v>
      </c>
      <c r="AQ23" s="92">
        <f aca="true" t="shared" si="19" ref="AQ23:AQ28">SUM(AM23-AO23)</f>
        <v>0</v>
      </c>
      <c r="AR23" s="90">
        <f>IF(($F$20=42),"",BA23)</f>
        <v>3</v>
      </c>
      <c r="BA23" s="58">
        <f>RANK(BL23,BL23:BL29)</f>
        <v>3</v>
      </c>
      <c r="BB23" s="64" t="str">
        <f aca="true" t="shared" si="20" ref="BB23:BB29">J23</f>
        <v>Partizan Most</v>
      </c>
      <c r="BC23" s="64">
        <f aca="true" t="shared" si="21" ref="BC23:BC29">AP23</f>
        <v>10</v>
      </c>
      <c r="BD23" s="64">
        <f>SUM(IF(BC24=BC23,R23,0),IF(BC25=BC23,V23,0),IF(BC26=BC23,Z23,0),IF(BC27=BC23,AD23,0),IF(BC28=BC23,AH23,0),IF(BC29=BC23,AL23,0))</f>
        <v>0</v>
      </c>
      <c r="BE23" s="64">
        <f aca="true" t="shared" si="22" ref="BE23:BE29">BF23-BG23</f>
        <v>0</v>
      </c>
      <c r="BF23" s="64">
        <f>SUM(IF(BC24=BC23,O23,0),IF(BC25=BC23,S23,0),IF(BC26=BC23,W23,0),IF(BC27=BC23,AA23,0),IF(BC28=BC23,AE23,0),IF(BC29=BC23,AI23,0))</f>
        <v>0</v>
      </c>
      <c r="BG23" s="64">
        <f>SUM(IF(BC24=BC23,Q23,0),IF(BC25=BC23,U23,0),IF(BC26=BC23,Y23,0),IF(BC27=BC23,AC23,0),IF(BC28=BC23,AG23,0),IF(BC29=BC23,AK23,0))</f>
        <v>0</v>
      </c>
      <c r="BH23" s="64">
        <f aca="true" t="shared" si="23" ref="BH23:BH29">AQ23</f>
        <v>0</v>
      </c>
      <c r="BI23" s="64">
        <f aca="true" t="shared" si="24" ref="BI23:BI29">AM23</f>
        <v>5</v>
      </c>
      <c r="BJ23" s="64">
        <f aca="true" t="shared" si="25" ref="BJ23:BJ29">IF(AO23&gt;0,AM23/AO23,IF(AND(AM23&gt;0,AO23=0),90,0))</f>
        <v>1</v>
      </c>
      <c r="BK23" s="55">
        <f>IF(Q21&gt;0,0,IF('[1]program'!T70=BB23,0.5,IF('[1]program'!T71=BB23,0.4,IF('[1]program'!T72=BB23,0.3,IF('[1]program'!T73=BB23,0.2,IF('[1]program'!T74=BB23,0.1,0))))))</f>
        <v>0</v>
      </c>
      <c r="BL23" s="54">
        <f>1000000000*BC23+100000000*BD23+1000000*BE23+10000*BF23+100*BH23+BI23+BK23+SUM(BH23:BK23)</f>
        <v>10000000011</v>
      </c>
      <c r="BM23" s="54">
        <f>10000*BC23+100*BH23+BJ23+SUM(BH23:BL23)</f>
        <v>10000100018</v>
      </c>
      <c r="BN23" s="64">
        <f>RANK(BM23,BM23:BM29)</f>
        <v>3</v>
      </c>
      <c r="BO23" s="54"/>
      <c r="BP23" s="64">
        <f aca="true" t="shared" si="26" ref="BP23:BP29">IF(BA23=1,BB23,"")</f>
      </c>
      <c r="BQ23" s="64">
        <f aca="true" t="shared" si="27" ref="BQ23:BQ29">IF(BA23=2,BB23,"")</f>
      </c>
      <c r="BR23" s="64" t="str">
        <f aca="true" t="shared" si="28" ref="BR23:BR29">IF(BA23=3,BB23,"")</f>
        <v>Partizan Most</v>
      </c>
      <c r="BS23" s="64">
        <f aca="true" t="shared" si="29" ref="BS23:BS29">IF(BA23=4,BB23,"")</f>
      </c>
      <c r="BT23" s="64">
        <f aca="true" t="shared" si="30" ref="BT23:BT29">IF(BA23=5,BB23,"")</f>
      </c>
      <c r="BU23" s="64">
        <f aca="true" t="shared" si="31" ref="BU23:BU29">IF(BA23=6,BB23,"")</f>
      </c>
      <c r="BV23" s="64">
        <f>IF(BA23=7,BB23,"")</f>
      </c>
      <c r="BW23" s="54" t="s">
        <v>66</v>
      </c>
      <c r="BX23" s="64" t="str">
        <f>IF(COUNTBLANK(BP23:BP29)=7,BY23,"1B")</f>
        <v>1B</v>
      </c>
      <c r="BY23" s="64" t="str">
        <f>IF(F20=0,IF(BZ23=1,VLOOKUP(1,BA23:BB29,2,0),IF(BZ23=2,"los2",IF(BZ23=3,"los3",IF(BZ23=4,"los4",IF(BZ23=5,"los5",IF(BZ23=6,"los6",IF(BZ23=7,"los7","1B"))))))),"1B")</f>
        <v>Gamblers Most</v>
      </c>
      <c r="BZ23" s="64">
        <f>IF(F20=0,7-COUNTBLANK(BP23:BP29),0)</f>
        <v>1</v>
      </c>
      <c r="CA23" s="55">
        <f>IF(BZ23&gt;1,IF(BQ23=BC23,BC23,IF(BQ24=BC24,BC24,IF(BQ25=BC25,BC25,IF(BQ26=BC26,BC26,IF(BQ27=BC27,BC27,""))))),"")</f>
      </c>
      <c r="CB23" s="55">
        <f>IF(BZ23&lt;2,"",IF(CHOOSE(MATCH(CA23,BQ23:BQ28,0)+1,BQ23,BQ24,BQ25,BQ26,BQ27,BQ28)="",IF(CHOOSE(MATCH(CA23,BQ23:BQ28,0)+2,BQ23,BQ24,BQ25,BQ26,BQ27,BQ28)="",IF(CHOOSE(MATCH(CA23,BQ23:BQ28,0)+3,BQ23,BQ24,BQ25,BQ26,BQ27,BQ28)="",IF(CHOOSE(MATCH(CA23,BQ23:BQ28,0)+4,BQ23,BQ24,BQ25,BQ26,BQ27,BQ28)="",CHOOSE(MATCH(CA23,BQ23:BQ28,0)+5,BQ23,BQ24,BQ25,BQ26,BQ27,BQ28),CHOOSE(MATCH(CA23,BQ23:BQ28,0)+4,BQ23,BQ24,BQ25,BQ26,BQ27,BQ28)),CHOOSE(MATCH(CA23,BQ23:BQ28,0)+3,BQ23,BQ24,BQ25,BQ26,BQ27,BQ28)),CHOOSE(MATCH(CA23,BQ23:BQ28,0)+2,BQ23,BQ24,BQ25,BQ26,BQ27,BQ28)),CHOOSE(MATCH(CA23,BQ23:BQ28,0)+1,BQ23,BQ24,BQ25,BQ26,BQ27,BQ28)))</f>
      </c>
      <c r="CC23" s="55">
        <f>IF(BZ23&lt;3,"",IF(CHOOSE(MATCH(CB23,BQ23:BQ28,0)+1,BQ23,BQ24,BQ25,BQ26,BQ27,BQ28)="",IF(CHOOSE(MATCH(CB23,BQ23:BQ28,0)+2,BQ23,BQ24,BQ25,BQ26,BQ27,BQ28)="",IF(CHOOSE(MATCH(CB23,BQ23:BQ28,0)+3,BQ23,BQ24,BQ25,BQ26,BQ27,BQ28)="",IF(CHOOSE(MATCH(CB23,BQ23:BQ28,0)+4,BQ23,BQ24,BQ25,BQ26,BQ27,BQ28)="",CHOOSE(MATCH(CB23,BQ23:BQ28,0)+5,BQ23,BQ24,BQ25,BQ26,BQ27,BQ28),CHOOSE(MATCH(CB23,BQ23:BQ28,0)+4,BQ23,BQ24,BQ25,BQ26,BQ27,BQ28)),CHOOSE(MATCH(CB23,BQ23:BQ28,0)+3,BQ23,BQ24,BQ25,BQ26,BQ27,BQ28)),CHOOSE(MATCH(CB23,BQ23:BQ28,0)+2,BQ23,BQ24,BQ25,BQ26,BQ27,BQ28)),CHOOSE(MATCH(CB23,BQ23:BQ28,0)+1,BQ23,BQ24,BQ25,BQ26,BQ27,BQ28)))</f>
      </c>
      <c r="CD23" s="55">
        <f>IF(BZ23&lt;4,"",IF(CHOOSE(MATCH(CC23,BQ23:BQ28,0)+1,BQ23,BQ24,BQ25,BQ26,BQ27,BQ28)="",IF(CHOOSE(MATCH(CC23,BQ23:BQ28,0)+2,BQ23,BQ24,BQ25,BQ26,BQ27,BQ28)="",IF(CHOOSE(MATCH(CC23,BQ23:BQ28,0)+3,BQ23,BQ24,BQ25,BQ26,BQ27,BQ28)="",IF(CHOOSE(MATCH(CC23,BQ23:BQ28,0)+4,BQ23,BQ24,BQ25,BQ26,BQ27,BQ28)="",CHOOSE(MATCH(CC23,BQ23:BQ28,0)+5,BQ23,BQ24,BQ25,BQ26,BQ27,BQ28),CHOOSE(MATCH(CC23,BQ23:BQ28,0)+4,BQ23,BQ24,BQ25,BQ26,BQ27,BQ28)),CHOOSE(MATCH(CC23,BQ23:BQ28,0)+3,BQ23,BQ24,BQ25,BQ26,BQ27,BQ28)),CHOOSE(MATCH(CC23,BQ23:BQ28,0)+2,BQ23,BQ24,BQ25,BQ26,BQ27,BQ28)),CHOOSE(MATCH(CC23,BQ23:BQ28,0)+1,BQ23,BQ24,BQ25,BQ26,BQ27,BQ28)))</f>
      </c>
      <c r="CE23" s="55">
        <f>IF(BZ23&lt;5,"",IF(CHOOSE(MATCH(CD23,BQ23:BQ28,0)+1,BQ23,BQ24,BQ25,BQ26,BQ27,BQ28)="",IF(CHOOSE(MATCH(CD23,BQ23:BQ28,0)+2,BQ23,BQ24,BQ25,BQ26,BQ27,BQ28)="",IF(CHOOSE(MATCH(CD23,BQ23:BQ28,0)+3,BQ23,BQ24,BQ25,BQ26,BQ27,BQ28)="",IF(CHOOSE(MATCH(CD23,BQ23:BQ28,0)+4,BQ23,BQ24,BQ25,BQ26,BQ27,BQ28)="",CHOOSE(MATCH(CD23,BQ23:BQ28,0)+5,BQ23,BQ24,BQ25,BQ26,BQ27,BQ28),CHOOSE(MATCH(CD23,BQ23:BQ28,0)+4,BQ23,BQ24,BQ25,BQ26,BQ27,BQ28)),CHOOSE(MATCH(CD23,BQ23:BQ28,0)+3,BQ23,BQ24,BQ25,BQ26,BQ27,BQ28)),CHOOSE(MATCH(CD23,BQ23:BQ28,0)+2,BQ23,BQ24,BQ25,BQ26,BQ27,BQ28)),CHOOSE(MATCH(CD23,BQ23:BQ28,0)+1,BQ23,BQ24,BQ25,BQ26,BQ27,BQ28)))</f>
      </c>
      <c r="CF23" s="54">
        <f>IF(BZ23=6,BC28,"")</f>
      </c>
    </row>
    <row r="24" spans="2:84" s="34" customFormat="1" ht="19.5" customHeight="1">
      <c r="B24" s="149">
        <v>7</v>
      </c>
      <c r="C24" s="149">
        <f>$W$23</f>
        <v>0</v>
      </c>
      <c r="D24" s="152" t="s">
        <v>1</v>
      </c>
      <c r="E24" s="149">
        <f>$Y$23</f>
        <v>1</v>
      </c>
      <c r="F24" s="149">
        <v>10</v>
      </c>
      <c r="G24" s="64">
        <f t="shared" si="16"/>
        <v>0</v>
      </c>
      <c r="H24" s="64">
        <f t="shared" si="17"/>
        <v>3</v>
      </c>
      <c r="J24" s="81" t="str">
        <f>Týmy!$B$11</f>
        <v>Sp.Chomutov U-18</v>
      </c>
      <c r="K24" s="11">
        <f>$Q$23</f>
        <v>0</v>
      </c>
      <c r="L24" s="9" t="s">
        <v>1</v>
      </c>
      <c r="M24" s="10">
        <f>$O$23</f>
        <v>1</v>
      </c>
      <c r="N24" s="60">
        <f aca="true" t="shared" si="32" ref="N24:N29">IF(COUNTBLANK(K24:M24)=0,IF(K24&lt;M24,0,IF(K24=M24,1,3)),"")</f>
        <v>0</v>
      </c>
      <c r="O24" s="198" t="s">
        <v>20</v>
      </c>
      <c r="P24" s="199"/>
      <c r="Q24" s="200"/>
      <c r="R24" s="121"/>
      <c r="S24" s="11">
        <f>IF(ISBLANK(Výsledky!E23),"",Výsledky!E23)</f>
        <v>1</v>
      </c>
      <c r="T24" s="9" t="s">
        <v>1</v>
      </c>
      <c r="U24" s="10">
        <f>IF(ISBLANK(Výsledky!G23),"",Výsledky!G23)</f>
        <v>2</v>
      </c>
      <c r="V24" s="60">
        <f>IF(COUNTBLANK(S24:U24)=0,IF(S24&lt;U24,0,IF(S24=U24,1,3)),"")</f>
        <v>0</v>
      </c>
      <c r="W24" s="11">
        <f>IF(ISBLANK(Výsledky!E27),"",Výsledky!E27)</f>
        <v>2</v>
      </c>
      <c r="X24" s="9" t="s">
        <v>1</v>
      </c>
      <c r="Y24" s="10">
        <f>IF(ISBLANK(Výsledky!G27),"",Výsledky!G27)</f>
        <v>2</v>
      </c>
      <c r="Z24" s="60">
        <f>IF(COUNTBLANK(W24:Y24)=0,IF(W24&lt;Y24,0,IF(W24=Y24,1,3)),"")</f>
        <v>1</v>
      </c>
      <c r="AA24" s="26">
        <f>IF(ISBLANK(Výsledky!E30),"",Výsledky!E30)</f>
        <v>2</v>
      </c>
      <c r="AB24" s="27" t="s">
        <v>1</v>
      </c>
      <c r="AC24" s="28">
        <f>IF(ISBLANK(Výsledky!G30),"",Výsledky!G30)</f>
        <v>1</v>
      </c>
      <c r="AD24" s="60">
        <f>IF(COUNTBLANK(AA24:AC24)=0,IF(AA24&lt;AC24,0,IF(AA24=AC24,1,3)),"")</f>
        <v>3</v>
      </c>
      <c r="AE24" s="26">
        <f>IF(ISBLANK(Výsledky!E34),"",Výsledky!E34)</f>
        <v>2</v>
      </c>
      <c r="AF24" s="27" t="s">
        <v>1</v>
      </c>
      <c r="AG24" s="28">
        <f>IF(ISBLANK(Výsledky!G34),"",Výsledky!G34)</f>
        <v>1</v>
      </c>
      <c r="AH24" s="150">
        <f>IF(COUNTBLANK(AE24:AG24)=0,IF(AE24&lt;AG24,0,IF(AE24=AG24,1,3)),"")</f>
        <v>3</v>
      </c>
      <c r="AI24" s="26">
        <f>IF(ISBLANK(Výsledky!E39),"",Výsledky!E39)</f>
        <v>0</v>
      </c>
      <c r="AJ24" s="147" t="s">
        <v>1</v>
      </c>
      <c r="AK24" s="28">
        <f>IF(ISBLANK(Výsledky!G39),"",Výsledky!G39)</f>
        <v>0</v>
      </c>
      <c r="AL24" s="150">
        <f t="shared" si="18"/>
        <v>1</v>
      </c>
      <c r="AM24" s="92">
        <f>SUM(K24,S24,W24,AA24,AE24,AI24)</f>
        <v>7</v>
      </c>
      <c r="AN24" s="93" t="s">
        <v>1</v>
      </c>
      <c r="AO24" s="94">
        <f>SUM(M24,U24,Y24,AC24,AG24,AK24)</f>
        <v>7</v>
      </c>
      <c r="AP24" s="95">
        <f>H22+G28+G29+G30+G31+G32</f>
        <v>8</v>
      </c>
      <c r="AQ24" s="92">
        <f t="shared" si="19"/>
        <v>0</v>
      </c>
      <c r="AR24" s="90">
        <f aca="true" t="shared" si="33" ref="AR24:AR29">IF(($F$20=42),"",BA24)</f>
        <v>4</v>
      </c>
      <c r="BA24" s="58">
        <f>RANK(BL24,BL23:BL29)</f>
        <v>4</v>
      </c>
      <c r="BB24" s="64" t="str">
        <f t="shared" si="20"/>
        <v>Sp.Chomutov U-18</v>
      </c>
      <c r="BC24" s="64">
        <f t="shared" si="21"/>
        <v>8</v>
      </c>
      <c r="BD24" s="64">
        <f>SUM(IF(BC23=BC24,R24,0),IF(BC25=BC24,V24,0),IF(BC26=BC24,Z24,0),IF(BC27=BC24,AD24,0),IF(BC28=BC24,AH24,0),IF(BC29=BC24,AL24,0))</f>
        <v>0</v>
      </c>
      <c r="BE24" s="64">
        <f t="shared" si="22"/>
        <v>0</v>
      </c>
      <c r="BF24" s="64">
        <f>SUM(IF(BC23=BC24,O24,0),IF(BC25=BC24,S24,0),IF(BC26=BC24,W24,0),IF(BC27=BC24,AA24,0),IF(BC28=BC24,AE24,0),IF(BC29=BC24,AI24,0))</f>
        <v>0</v>
      </c>
      <c r="BG24" s="64">
        <f>SUM(IF(BC23=BC24,Q24,0),IF(BC25=BC24,U24,0),IF(BC26=BC24,Y24,0),IF(BC27=BC24,AC24,0),IF(BC28=BC24,AG24,0),IF(BC29=BC24,AK24,0))</f>
        <v>0</v>
      </c>
      <c r="BH24" s="64">
        <f t="shared" si="23"/>
        <v>0</v>
      </c>
      <c r="BI24" s="64">
        <f t="shared" si="24"/>
        <v>7</v>
      </c>
      <c r="BJ24" s="64">
        <f t="shared" si="25"/>
        <v>1</v>
      </c>
      <c r="BK24" s="55">
        <f>IF(Q21&gt;0,0,IF('[1]program'!T70=BB24,0.5,IF('[1]program'!T71=BB24,0.4,IF('[1]program'!T72=BB24,0.3,IF('[1]program'!T73=BB24,0.2,IF('[1]program'!T74=BB24,0.1,0))))))</f>
        <v>0</v>
      </c>
      <c r="BL24" s="54">
        <f aca="true" t="shared" si="34" ref="BL24:BL29">1000000000*BC24+100000000*BD24+1000000*BE24+10000*BF24+100*BH24+BI24+BK24+SUM(BH24:BK24)</f>
        <v>8000000015</v>
      </c>
      <c r="BM24" s="54">
        <f aca="true" t="shared" si="35" ref="BM24:BM29">10000*BC24+100*BH24+BJ24+SUM(BH24:BL24)</f>
        <v>8000080024</v>
      </c>
      <c r="BN24" s="64">
        <f>RANK(BM24,BM23:BM29)</f>
        <v>4</v>
      </c>
      <c r="BO24" s="54"/>
      <c r="BP24" s="64">
        <f t="shared" si="26"/>
      </c>
      <c r="BQ24" s="64">
        <f t="shared" si="27"/>
      </c>
      <c r="BR24" s="64">
        <f t="shared" si="28"/>
      </c>
      <c r="BS24" s="64" t="str">
        <f t="shared" si="29"/>
        <v>Sp.Chomutov U-18</v>
      </c>
      <c r="BT24" s="64">
        <f t="shared" si="30"/>
      </c>
      <c r="BU24" s="64">
        <f t="shared" si="31"/>
      </c>
      <c r="BV24" s="64">
        <f aca="true" t="shared" si="36" ref="BV24:BV29">IF(BA24=7,BB24,"")</f>
      </c>
      <c r="BW24" s="54" t="s">
        <v>67</v>
      </c>
      <c r="BX24" s="64" t="str">
        <f>IF(COUNTBLANK(BQ23:BQ29)=7,BY24,"2B")</f>
        <v>2B</v>
      </c>
      <c r="BY24" s="64" t="str">
        <f>IF(F20=0,IF(BZ24=1,VLOOKUP(2,BA23:BB29,2,0),IF(BZ24=2,"los2",IF(BZ24=3,"los3",IF(BZ24=4,"los4",IF(BZ24=5,"los5",IF(BZ24=6,"los6","2B")))))),"2B")</f>
        <v>Kopisty</v>
      </c>
      <c r="BZ24" s="64">
        <f>IF(F20=0,7-COUNTBLANK(BQ23:BQ29),0)</f>
        <v>1</v>
      </c>
      <c r="CA24" s="55">
        <f>IF(BZ24&gt;1,IF(BR23=BC23,BC23,IF(BR24=BC24,BC24,IF(BR25=BC25,BC25,IF(BR26=BC26,BC26,IF(BR27=BC27,BC27,""))))),"")</f>
      </c>
      <c r="CB24" s="55">
        <f>IF(BZ24&lt;2,"",IF(CHOOSE(MATCH(CA24,BR23:BR28,0)+1,BR23,BR24,BR25,BR26,BR27,BR28)="",IF(CHOOSE(MATCH(CA24,BR23:BR28,0)+2,BR23,BR24,BR25,BR26,BR27,BR28)="",IF(CHOOSE(MATCH(CA24,BR23:BR28,0)+3,BR23,BR24,BR25,BR26,BR27,BR28)="",IF(CHOOSE(MATCH(CA24,BR23:BR28,0)+4,BR23,BR24,BR25,BR26,BR27,BR28)="",CHOOSE(MATCH(CA24,BR23:BR28,0)+5,BR23,BR24,BR25,BR26,BR27,BR28),CHOOSE(MATCH(CA24,BR23:BR28,0)+4,BR23,BR24,BR25,BR26,BR27,BR28)),CHOOSE(MATCH(CA24,BR23:BR28,0)+3,BR23,BR24,BR25,BR26,BR27,BR28)),CHOOSE(MATCH(CA24,BR23:BR28,0)+2,BR23,BR24,BR25,BR26,BR27,BR28)),CHOOSE(MATCH(CA24,BR23:BR28,0)+1,BR23,BR24,BR25,BR26,BR27,BR28)))</f>
      </c>
      <c r="CC24" s="55">
        <f>IF(BZ24&lt;3,"",IF(CHOOSE(MATCH(CB24,BR23:BR28,0)+1,BR23,BR24,BR25,BR26,BR27,BR28)="",IF(CHOOSE(MATCH(CB24,BR23:BR28,0)+2,BR23,BR24,BR25,BR26,BR27,BR28)="",IF(CHOOSE(MATCH(CB24,BR23:BR28,0)+3,BR23,BR24,BR25,BR26,BR27,BR28)="",IF(CHOOSE(MATCH(CB24,BR23:BR28,0)+4,BR23,BR24,BR25,BR26,BR27,BR28)="",CHOOSE(MATCH(CB24,BR23:BR28,0)+5,BR23,BR24,BR25,BR26,BR27,BR28),CHOOSE(MATCH(CB24,BR23:BR28,0)+4,BR23,BR24,BR25,BR26,BR27,BR28)),CHOOSE(MATCH(CB24,BR23:BR28,0)+3,BR23,BR24,BR25,BR26,BR27,BR28)),CHOOSE(MATCH(CB24,BR23:BR28,0)+2,BR23,BR24,BR25,BR26,BR27,BR28)),CHOOSE(MATCH(CB24,BR23:BR28,0)+1,BR23,BR24,BR25,BR26,BR27,BR28)))</f>
      </c>
      <c r="CD24" s="55">
        <f>IF(BZ24&lt;4,"",IF(CHOOSE(MATCH(CC24,BR23:BR28,0)+1,BR23,BR24,BR25,BR26,BR27,BR28)="",IF(CHOOSE(MATCH(CC24,BR23:BR28,0)+2,BR23,BR24,BR25,BR26,BR27,BR28)="",IF(CHOOSE(MATCH(CC24,BR23:BR28,0)+3,BR23,BR24,BR25,BR26,BR27,BR28)="",IF(CHOOSE(MATCH(CC24,BR23:BR28,0)+4,BR23,BR24,BR25,BR26,BR27,BR28)="",CHOOSE(MATCH(CC24,BR23:BR28,0)+5,BR23,BR24,BR25,BR26,BR27,BR28),CHOOSE(MATCH(CC24,BR23:BR28,0)+4,BR23,BR24,BR25,BR26,BR27,BR28)),CHOOSE(MATCH(CC24,BR23:BR28,0)+3,BR23,BR24,BR25,BR26,BR27,BR28)),CHOOSE(MATCH(CC24,BR23:BR28,0)+2,BR23,BR24,BR25,BR26,BR27,BR28)),CHOOSE(MATCH(CC24,BR23:BR28,0)+1,BR23,BR24,BR25,BR26,BR27,BR28)))</f>
      </c>
      <c r="CE24" s="55">
        <f>IF(BZ24&lt;5,"",IF(CHOOSE(MATCH(CD24,BR23:BR28,0)+1,BR23,BR24,BR25,BR26,BR27,BR28)="",IF(CHOOSE(MATCH(CD24,BR23:BR28,0)+2,BR23,BR24,BR25,BR26,BR27,BR28)="",IF(CHOOSE(MATCH(CD24,BR23:BR28,0)+3,BR23,BR24,BR25,BR26,BR27,BR28)="",IF(CHOOSE(MATCH(CD24,BR23:BR28,0)+4,BR23,BR24,BR25,BR26,BR27,BR28)="",CHOOSE(MATCH(CD24,BR23:BR28,0)+5,BR23,BR24,BR25,BR26,BR27,BR28),CHOOSE(MATCH(CD24,BR23:BR28,0)+4,BR23,BR24,BR25,BR26,BR27,BR28)),CHOOSE(MATCH(CD24,BR23:BR28,0)+3,BR23,BR24,BR25,BR26,BR27,BR28)),CHOOSE(MATCH(CD24,BR23:BR28,0)+2,BR23,BR24,BR25,BR26,BR27,BR28)),CHOOSE(MATCH(CD24,BR23:BR28,0)+1,BR23,BR24,BR25,BR26,BR27,BR28)))</f>
      </c>
      <c r="CF24" s="54"/>
    </row>
    <row r="25" spans="2:84" s="34" customFormat="1" ht="19.5" customHeight="1">
      <c r="B25" s="149">
        <v>7</v>
      </c>
      <c r="C25" s="149">
        <f>$AA$23</f>
        <v>0</v>
      </c>
      <c r="D25" s="152" t="s">
        <v>1</v>
      </c>
      <c r="E25" s="149">
        <f>$AC$23</f>
        <v>3</v>
      </c>
      <c r="F25" s="149">
        <v>11</v>
      </c>
      <c r="G25" s="64">
        <f t="shared" si="16"/>
        <v>0</v>
      </c>
      <c r="H25" s="64">
        <f t="shared" si="17"/>
        <v>3</v>
      </c>
      <c r="J25" s="81" t="str">
        <f>Týmy!$B$12</f>
        <v>Gamblers Most</v>
      </c>
      <c r="K25" s="11">
        <f>$U$23</f>
        <v>1</v>
      </c>
      <c r="L25" s="9" t="s">
        <v>1</v>
      </c>
      <c r="M25" s="10">
        <f>$S$23</f>
        <v>1</v>
      </c>
      <c r="N25" s="60">
        <f t="shared" si="32"/>
        <v>1</v>
      </c>
      <c r="O25" s="11">
        <f>$U$24</f>
        <v>2</v>
      </c>
      <c r="P25" s="9" t="s">
        <v>1</v>
      </c>
      <c r="Q25" s="10">
        <f>$S$24</f>
        <v>1</v>
      </c>
      <c r="R25" s="60">
        <f>IF(COUNTBLANK(O25:Q25)=0,IF(O25&lt;Q25,0,IF(O25=Q25,1,3)),"")</f>
        <v>3</v>
      </c>
      <c r="S25" s="204" t="s">
        <v>20</v>
      </c>
      <c r="T25" s="205"/>
      <c r="U25" s="206"/>
      <c r="V25" s="121"/>
      <c r="W25" s="143">
        <f>IF(ISBLANK(Výsledky!E20),"",Výsledky!E20)</f>
        <v>1</v>
      </c>
      <c r="X25" s="144" t="s">
        <v>1</v>
      </c>
      <c r="Y25" s="145">
        <f>IF(ISBLANK(Výsledky!G20),"",Výsledky!G20)</f>
        <v>0</v>
      </c>
      <c r="Z25" s="60">
        <f>IF(COUNTBLANK(W25:Y25)=0,IF(W25&lt;Y25,0,IF(W25=Y25,1,3)),"")</f>
        <v>3</v>
      </c>
      <c r="AA25" s="26">
        <f>IF(ISBLANK(Výsledky!E33),"",Výsledky!E33)</f>
        <v>5</v>
      </c>
      <c r="AB25" s="27" t="s">
        <v>1</v>
      </c>
      <c r="AC25" s="28">
        <f>IF(ISBLANK(Výsledky!G33),"",Výsledky!G33)</f>
        <v>0</v>
      </c>
      <c r="AD25" s="60">
        <f>IF(COUNTBLANK(AA25:AC25)=0,IF(AA25&lt;AC25,0,IF(AA25=AC25,1,3)),"")</f>
        <v>3</v>
      </c>
      <c r="AE25" s="26">
        <f>IF(ISBLANK(Výsledky!E31),"",Výsledky!E31)</f>
        <v>3</v>
      </c>
      <c r="AF25" s="27" t="s">
        <v>1</v>
      </c>
      <c r="AG25" s="28">
        <f>IF(ISBLANK(Výsledky!G31),"",Výsledky!G31)</f>
        <v>0</v>
      </c>
      <c r="AH25" s="150">
        <f>IF(COUNTBLANK(AE25:AG25)=0,IF(AE25&lt;AG25,0,IF(AE25=AG25,1,3)),"")</f>
        <v>3</v>
      </c>
      <c r="AI25" s="26">
        <f>IF(ISBLANK(Výsledky!E37),"",Výsledky!E37)</f>
        <v>1</v>
      </c>
      <c r="AJ25" s="147" t="s">
        <v>1</v>
      </c>
      <c r="AK25" s="28">
        <f>IF(ISBLANK(Výsledky!G37),"",Výsledky!G37)</f>
        <v>1</v>
      </c>
      <c r="AL25" s="150">
        <f t="shared" si="18"/>
        <v>1</v>
      </c>
      <c r="AM25" s="92">
        <f>SUM(K25,O25,W25,AA25,AE25,AI25)</f>
        <v>13</v>
      </c>
      <c r="AN25" s="93" t="s">
        <v>1</v>
      </c>
      <c r="AO25" s="94">
        <f>SUM(M25,Q25,Y25,AC25,AG25,AK25)</f>
        <v>3</v>
      </c>
      <c r="AP25" s="95">
        <f>H23+H28+G33+G34+G35+G36</f>
        <v>14</v>
      </c>
      <c r="AQ25" s="92">
        <f t="shared" si="19"/>
        <v>10</v>
      </c>
      <c r="AR25" s="90">
        <f t="shared" si="33"/>
        <v>1</v>
      </c>
      <c r="BA25" s="58">
        <f>RANK(BL25,BL23:BL29)</f>
        <v>1</v>
      </c>
      <c r="BB25" s="64" t="str">
        <f t="shared" si="20"/>
        <v>Gamblers Most</v>
      </c>
      <c r="BC25" s="64">
        <f t="shared" si="21"/>
        <v>14</v>
      </c>
      <c r="BD25" s="64">
        <f>SUM(IF(BC23=BC25,R25,0),IF(BC24=BC25,V25,0),IF(BC26=BC25,Z25,0),IF(BC27=BC25,AD25,0),IF(BC28=BC25,AH25,0),IF(BC29=BC25,AL25,0))</f>
        <v>0</v>
      </c>
      <c r="BE25" s="64">
        <f t="shared" si="22"/>
        <v>0</v>
      </c>
      <c r="BF25" s="64">
        <f>SUM(IF(BC23=BC25,O25,0),IF(BC24=BC25,S25,0),IF(BC26=BC25,W25,0),IF(BC27=BC25,AA25,0),IF(BC28=BC25,AE25,0),IF(BC29=BC25,AI25,0))</f>
        <v>0</v>
      </c>
      <c r="BG25" s="64">
        <f>SUM(IF(BC23=BC25,Q25,0),IF(BC24=BC25,U25,0),IF(BC26=BC25,Y25,0),IF(BC27=BC25,AC25,0),IF(BC28=BC25,AG25,0),IF(BC29=BC25,AK25,0))</f>
        <v>0</v>
      </c>
      <c r="BH25" s="64">
        <f t="shared" si="23"/>
        <v>10</v>
      </c>
      <c r="BI25" s="64">
        <f t="shared" si="24"/>
        <v>13</v>
      </c>
      <c r="BJ25" s="64">
        <f t="shared" si="25"/>
        <v>4.333333333333333</v>
      </c>
      <c r="BK25" s="55">
        <f>IF(Q21&gt;0,0,IF('[1]program'!T70=BB25,0.5,IF('[1]program'!T71=BB25,0.4,IF('[1]program'!T72=BB25,0.3,IF('[1]program'!T73=BB25,0.2,IF('[1]program'!T74=BB25,0.1,0))))))</f>
        <v>0</v>
      </c>
      <c r="BL25" s="54">
        <f t="shared" si="34"/>
        <v>14000001040.333334</v>
      </c>
      <c r="BM25" s="54">
        <f t="shared" si="35"/>
        <v>14000142072.000002</v>
      </c>
      <c r="BN25" s="64">
        <f>RANK(BM25,BM23:BM29)</f>
        <v>1</v>
      </c>
      <c r="BO25" s="54"/>
      <c r="BP25" s="64" t="str">
        <f t="shared" si="26"/>
        <v>Gamblers Most</v>
      </c>
      <c r="BQ25" s="64">
        <f t="shared" si="27"/>
      </c>
      <c r="BR25" s="64">
        <f t="shared" si="28"/>
      </c>
      <c r="BS25" s="64">
        <f t="shared" si="29"/>
      </c>
      <c r="BT25" s="64">
        <f t="shared" si="30"/>
      </c>
      <c r="BU25" s="64">
        <f t="shared" si="31"/>
      </c>
      <c r="BV25" s="64">
        <f t="shared" si="36"/>
      </c>
      <c r="BW25" s="54" t="s">
        <v>68</v>
      </c>
      <c r="BX25" s="64" t="str">
        <f>IF(COUNTBLANK(BR23:BR29)=7,BY25,"3B")</f>
        <v>3B</v>
      </c>
      <c r="BY25" s="64" t="str">
        <f>IF(F20=0,IF(BZ25=1,VLOOKUP(3,BA23:BB29,2,0),IF(BZ25=2,"los2",IF(BZ25=3,"los3",IF(BZ25=4,"los4",IF(BZ25=5,"los5","3B"))))),"3B")</f>
        <v>Partizan Most</v>
      </c>
      <c r="BZ25" s="64">
        <f>IF(F20=0,7-COUNTBLANK(BR23:BR29),0)</f>
        <v>1</v>
      </c>
      <c r="CA25" s="55">
        <f>IF(BZ25&gt;1,IF(BS23=BC23,BC23,IF(BS24=BC24,BC24,IF(BS25=BC25,BC25,IF(BS26=BC26,BC26,IF(BS27=BC27,BC27,""))))),"")</f>
      </c>
      <c r="CB25" s="55">
        <f>IF(BZ25&lt;2,"",IF(CHOOSE(MATCH(CA25,BS23:BS28,0)+1,BS23,BS24,BS25,BS26,BS27,BS28)="",IF(CHOOSE(MATCH(CA25,BS23:BS28,0)+2,BS23,BS24,BS25,BS26,BS27,BS28)="",IF(CHOOSE(MATCH(CA25,BS23:BS28,0)+3,BS23,BS24,BS25,BS26,BS27,BS28)="",IF(CHOOSE(MATCH(CA25,BS23:BS28,0)+4,BS23,BS24,BS25,BS26,BS27,BS28)="",CHOOSE(MATCH(CA25,BS23:BS28,0)+5,BS23,BS24,BS25,BS26,BS27,BS28),CHOOSE(MATCH(CA25,BS23:BS28,0)+4,BS23,BS24,BS25,BS26,BS27,BS28)),CHOOSE(MATCH(CA25,BS23:BS28,0)+3,BS23,BS24,BS25,BS26,BS27,BS28)),CHOOSE(MATCH(CA25,BS23:BS28,0)+2,BS23,BS24,BS25,BS26,BS27,BS28)),CHOOSE(MATCH(CA25,BS23:BS28,0)+1,BS23,BS24,BS25,BS26,BS27,BS28)))</f>
      </c>
      <c r="CC25" s="55">
        <f>IF(BZ25&lt;3,"",IF(CHOOSE(MATCH(CB25,BS23:BS28,0)+1,BS23,BS24,BS25,BS26,BS27,BS28)="",IF(CHOOSE(MATCH(CB25,BS23:BS109,0)+2,BS23,BS24,BS25,BS26,BS27,BS28)="",IF(CHOOSE(MATCH(CB25,BS23:BS28,0)+3,BS23,BS24,BS25,BS26,BS27,BS28)="",IF(CHOOSE(MATCH(CB25,BS23:BS28,0)+4,BS23,BS24,BS25,BS26,BS27,BS28)="",CHOOSE(MATCH(CB25,BS23:BS28,0)+5,BS23,BS24,BS25,BS26,BS27,BS28),CHOOSE(MATCH(CB25,BS23:BS28,0)+4,BS23,BS24,BS25,BS26,BS27,BS28)),CHOOSE(MATCH(CB25,BS23:BS28,0)+3,BS23,BS24,BS25,BS26,BS27,BS28)),CHOOSE(MATCH(CB25,BS23:BS28,0)+2,BS23,BS24,BS25,BS26,BS27,BS28)),CHOOSE(MATCH(CB25,BS23:BS28,0)+1,BS23,BS24,BS25,BS26,BS27,BS28)))</f>
      </c>
      <c r="CD25" s="55">
        <f>IF(BZ25&lt;4,"",IF(CHOOSE(MATCH(CC25,BS23:BS28,0)+1,BS23,BS24,BS25,BS26,BS27,BS28)="",IF(CHOOSE(MATCH(CC25,BS23:BS109,0)+2,BS23,BS24,BS25,BS26,BS27,BS28)="",IF(CHOOSE(MATCH(CC25,BS23:BS28,0)+3,BS23,BS24,BS25,BS26,BS27,BS28)="",IF(CHOOSE(MATCH(CC25,BS23:BS28,0)+4,BS23,BS24,BS25,BS26,BS27,BS28)="",CHOOSE(MATCH(CC25,BS23:BS28,0)+5,BS23,BS24,BS25,BS26,BS27,BS28),CHOOSE(MATCH(CC25,BS23:BS28,0)+4,BS23,BS24,BS25,BS26,BS27,BS28)),CHOOSE(MATCH(CC25,BS23:BS28,0)+3,BS23,BS24,BS25,BS26,BS27,BS28)),CHOOSE(MATCH(CC25,BS23:BS28,0)+2,BS23,BS24,BS25,BS26,BS27,BS28)),CHOOSE(MATCH(CC25,BS23:BS28,0)+1,BS23,BS24,BS25,BS26,BS27,BS28)))</f>
      </c>
      <c r="CE25" s="55"/>
      <c r="CF25" s="54"/>
    </row>
    <row r="26" spans="2:84" s="34" customFormat="1" ht="19.5" customHeight="1">
      <c r="B26" s="149">
        <v>7</v>
      </c>
      <c r="C26" s="149">
        <f>$AE$23</f>
        <v>2</v>
      </c>
      <c r="D26" s="152" t="s">
        <v>1</v>
      </c>
      <c r="E26" s="149">
        <f>$AG$23</f>
        <v>0</v>
      </c>
      <c r="F26" s="149">
        <v>12</v>
      </c>
      <c r="G26" s="64">
        <f t="shared" si="16"/>
        <v>3</v>
      </c>
      <c r="H26" s="64">
        <f t="shared" si="17"/>
        <v>0</v>
      </c>
      <c r="J26" s="82" t="str">
        <f>Týmy!$B$13</f>
        <v>Kopisty</v>
      </c>
      <c r="K26" s="26">
        <f>$Y$23</f>
        <v>1</v>
      </c>
      <c r="L26" s="27" t="s">
        <v>1</v>
      </c>
      <c r="M26" s="28">
        <f>$W$23</f>
        <v>0</v>
      </c>
      <c r="N26" s="60">
        <f t="shared" si="32"/>
        <v>3</v>
      </c>
      <c r="O26" s="26">
        <f>$Y$24</f>
        <v>2</v>
      </c>
      <c r="P26" s="27" t="s">
        <v>1</v>
      </c>
      <c r="Q26" s="28">
        <f>$W$24</f>
        <v>2</v>
      </c>
      <c r="R26" s="60">
        <f>IF(COUNTBLANK(O26:Q26)=0,IF(O26&lt;Q26,0,IF(O26=Q26,1,3)),"")</f>
        <v>1</v>
      </c>
      <c r="S26" s="26">
        <f>$Y$25</f>
        <v>0</v>
      </c>
      <c r="T26" s="27" t="s">
        <v>1</v>
      </c>
      <c r="U26" s="28">
        <f>$W$25</f>
        <v>1</v>
      </c>
      <c r="V26" s="60">
        <f>IF(COUNTBLANK(S26:U26)=0,IF(S26&lt;U26,0,IF(S26=U26,1,3)),"")</f>
        <v>0</v>
      </c>
      <c r="W26" s="207" t="s">
        <v>20</v>
      </c>
      <c r="X26" s="208"/>
      <c r="Y26" s="209"/>
      <c r="Z26" s="122"/>
      <c r="AA26" s="11">
        <f>IF(ISBLANK(Výsledky!E24),"",Výsledky!E24)</f>
        <v>2</v>
      </c>
      <c r="AB26" s="9" t="s">
        <v>1</v>
      </c>
      <c r="AC26" s="10">
        <f>IF(ISBLANK(Výsledky!G24),"",Výsledky!G24)</f>
        <v>1</v>
      </c>
      <c r="AD26" s="60">
        <f>IF(COUNTBLANK(AA26:AC26)=0,IF(AA26&lt;AC26,0,IF(AA26=AC26,1,3)),"")</f>
        <v>3</v>
      </c>
      <c r="AE26" s="11">
        <f>IF(ISBLANK(Výsledky!E38),"",Výsledky!E38)</f>
        <v>0</v>
      </c>
      <c r="AF26" s="9" t="s">
        <v>1</v>
      </c>
      <c r="AG26" s="10">
        <f>IF(ISBLANK(Výsledky!G38),"",Výsledky!G38)</f>
        <v>0</v>
      </c>
      <c r="AH26" s="150">
        <f>IF(COUNTBLANK(AE26:AG26)=0,IF(AE26&lt;AG26,0,IF(AE26=AG26,1,3)),"")</f>
        <v>1</v>
      </c>
      <c r="AI26" s="26">
        <f>IF(ISBLANK(Výsledky!E35),"",Výsledky!E35)</f>
        <v>1</v>
      </c>
      <c r="AJ26" s="147" t="s">
        <v>1</v>
      </c>
      <c r="AK26" s="28">
        <f>IF(ISBLANK(Výsledky!G35),"",Výsledky!G35)</f>
        <v>0</v>
      </c>
      <c r="AL26" s="150">
        <f t="shared" si="18"/>
        <v>3</v>
      </c>
      <c r="AM26" s="96">
        <f>SUM(K26,O26,S26,AA26,AE26,AI26)</f>
        <v>6</v>
      </c>
      <c r="AN26" s="97" t="s">
        <v>1</v>
      </c>
      <c r="AO26" s="94">
        <f>SUM(M26,Q26,U26,AC26,AG26,AK26)</f>
        <v>4</v>
      </c>
      <c r="AP26" s="95">
        <f>H24+H29+H33+G37+G38+G39</f>
        <v>11</v>
      </c>
      <c r="AQ26" s="92">
        <f t="shared" si="19"/>
        <v>2</v>
      </c>
      <c r="AR26" s="90">
        <f t="shared" si="33"/>
        <v>2</v>
      </c>
      <c r="BA26" s="58">
        <f>RANK(BL26,BL23:BL29)</f>
        <v>2</v>
      </c>
      <c r="BB26" s="64" t="str">
        <f t="shared" si="20"/>
        <v>Kopisty</v>
      </c>
      <c r="BC26" s="64">
        <f t="shared" si="21"/>
        <v>11</v>
      </c>
      <c r="BD26" s="64">
        <f>SUM(IF(BC23=BC26,R26,0),IF(BC24=BC26,V26,0),IF(BC25=BC26,Z26,0),IF(BC27=BC26,AD26,0),IF(BC28=BC26,AH26,0),IF(BC29=BC26,AL26,0))</f>
        <v>0</v>
      </c>
      <c r="BE26" s="64">
        <f t="shared" si="22"/>
        <v>0</v>
      </c>
      <c r="BF26" s="64">
        <f>SUM(IF(BC23=BC26,O26,0),IF(BC24=BC26,S26,0),IF(BC25=BC26,W26,0),IF(BC27=BC26,AA26,0),IF(BC28=BC26,AE26,0),IF(BC29=BC26,AI26,0))</f>
        <v>0</v>
      </c>
      <c r="BG26" s="64">
        <f>SUM(IF(BC23=BC26,Q26,0),IF(BC24=BC26,U26,0),IF(BC25=BC26,Y26,0),IF(BC27=BC26,AC26,0),IF(BC28=BC26,AG26,0),IF(BC29=BC26,AK26,0))</f>
        <v>0</v>
      </c>
      <c r="BH26" s="64">
        <f t="shared" si="23"/>
        <v>2</v>
      </c>
      <c r="BI26" s="64">
        <f t="shared" si="24"/>
        <v>6</v>
      </c>
      <c r="BJ26" s="64">
        <f t="shared" si="25"/>
        <v>1.5</v>
      </c>
      <c r="BK26" s="55">
        <f>IF(Q21&gt;0,0,IF('[1]program'!T70=BB26,0.5,IF('[1]program'!T71=BB26,0.4,IF('[1]program'!T72=BB26,0.3,IF('[1]program'!T73=BB26,0.2,IF('[1]program'!T74=BB26,0.1,0))))))</f>
        <v>0</v>
      </c>
      <c r="BL26" s="54">
        <f t="shared" si="34"/>
        <v>11000000215.5</v>
      </c>
      <c r="BM26" s="54">
        <f t="shared" si="35"/>
        <v>11000110426.5</v>
      </c>
      <c r="BN26" s="64">
        <f>RANK(BM26,BM23:BM29)</f>
        <v>2</v>
      </c>
      <c r="BO26" s="54"/>
      <c r="BP26" s="64">
        <f t="shared" si="26"/>
      </c>
      <c r="BQ26" s="64" t="str">
        <f t="shared" si="27"/>
        <v>Kopisty</v>
      </c>
      <c r="BR26" s="64">
        <f t="shared" si="28"/>
      </c>
      <c r="BS26" s="64">
        <f t="shared" si="29"/>
      </c>
      <c r="BT26" s="64">
        <f t="shared" si="30"/>
      </c>
      <c r="BU26" s="64">
        <f t="shared" si="31"/>
      </c>
      <c r="BV26" s="64">
        <f t="shared" si="36"/>
      </c>
      <c r="BW26" s="54" t="s">
        <v>69</v>
      </c>
      <c r="BX26" s="64" t="str">
        <f>IF(COUNTBLANK(BS23:BS29)=7,BY26,"4B")</f>
        <v>4B</v>
      </c>
      <c r="BY26" s="64" t="str">
        <f>IF(F20=0,IF(BZ26=1,VLOOKUP(4,BA23:BB29,2,0),IF(BZ26=2,"los2",IF(BZ26=3,"los3",IF(BZ26=4,"los4","4B")))),"4B")</f>
        <v>Sp.Chomutov U-18</v>
      </c>
      <c r="BZ26" s="64">
        <f>IF(F20=0,7-COUNTBLANK(BS23:BS29),0)</f>
        <v>1</v>
      </c>
      <c r="CA26" s="55">
        <f>IF(BZ26&gt;1,IF(BT23=BC23,BC23,IF(BT24=BC24,BC24,IF(BT25=BC25,BC25,IF(BT26=BC26,BC26,IF(BT27=BC27,BC27,""))))),"")</f>
      </c>
      <c r="CB26" s="55">
        <f>IF(BZ26&lt;2,"",IF(CHOOSE(MATCH(CA26,BT23:BT28,0)+1,BT23,BT24,BT25,BT26,BT27,BT28)="",IF(CHOOSE(MATCH(CA26,BT23:BT28,0)+2,BT23,BT24,BT25,BT26,BT27,BT28)="",IF(CHOOSE(MATCH(CA26,BT23:BT28,0)+3,BT23,BT24,BT25,BT26,BT27,BT28)="",IF(CHOOSE(MATCH(CA26,BT23:BT28,0)+4,BT23,BT24,BT25,BT26,BT27,BT28)="",CHOOSE(MATCH(CA26,BT23:BT28,0)+5,BT23,BT24,BT25,BT26,BT27,BT28),CHOOSE(MATCH(CA26,BT23:BT28,0)+4,BT23,BT24,BT25,BT26,BT27,BT28)),CHOOSE(MATCH(CA26,BT23:BT28,0)+3,BT23,BT24,BT25,BT26,BT27,BT28)),CHOOSE(MATCH(CA26,BT23:BT28,0)+2,BT23,BT24,BT25,BT26,BT27,BT28)),CHOOSE(MATCH(CA26,BT23:BT28,0)+1,BT23,BT24,BT25,BT26,BT27,BT28)))</f>
      </c>
      <c r="CC26" s="55">
        <f>IF(BZ26&lt;3,"",IF(CHOOSE(MATCH(CB26,BT23:BT28,0)+1,BT23,BT24,BT25,BT26,BT27,BT28)="",IF(CHOOSE(MATCH(CB26,BT23:BT28,0)+2,BT23,BT24,BT25,BT26,BT27,BT28)="",IF(CHOOSE(MATCH(CB26,BT23:BT28,0)+3,BT23,BT24,BT25,BT26,BT27,BT28)="",IF(CHOOSE(MATCH(CB26,BT23:BT28,0)+4,BT23,BT24,BT25,BT26,BT27,BT28)="",CHOOSE(MATCH(CB26,BT23:BT28,0)+5,BT23,BT24,BT25,BT26,BT27,BT28),CHOOSE(MATCH(CB26,BT23:BT28,0)+4,BT23,BT24,BT25,BT26,BT27,BT28)),CHOOSE(MATCH(CB26,BT23:BT28,0)+3,BT23,BT24,BT25,BT26,BT27,BT28)),CHOOSE(MATCH(CB26,BT23:BT28,0)+2,BT23,BT24,BT25,BT26,BT27,BT28)),CHOOSE(MATCH(CB26,BT23:BT28,0)+1,BT23,BT24,BT25,BT26,BT27,BT28)))</f>
      </c>
      <c r="CD26" s="55"/>
      <c r="CE26" s="55"/>
      <c r="CF26" s="54"/>
    </row>
    <row r="27" spans="2:84" s="34" customFormat="1" ht="19.5" customHeight="1">
      <c r="B27" s="149">
        <v>7</v>
      </c>
      <c r="C27" s="149">
        <f>$AI$23</f>
        <v>1</v>
      </c>
      <c r="D27" s="152" t="s">
        <v>1</v>
      </c>
      <c r="E27" s="149">
        <f>$AK$23</f>
        <v>0</v>
      </c>
      <c r="F27" s="149">
        <v>13</v>
      </c>
      <c r="G27" s="64">
        <f t="shared" si="16"/>
        <v>3</v>
      </c>
      <c r="H27" s="64">
        <f t="shared" si="17"/>
        <v>0</v>
      </c>
      <c r="J27" s="81" t="str">
        <f>Týmy!$B$14</f>
        <v>Wings</v>
      </c>
      <c r="K27" s="26">
        <f>$AC$23</f>
        <v>3</v>
      </c>
      <c r="L27" s="27" t="s">
        <v>1</v>
      </c>
      <c r="M27" s="28">
        <f>$AA$23</f>
        <v>0</v>
      </c>
      <c r="N27" s="60">
        <f t="shared" si="32"/>
        <v>3</v>
      </c>
      <c r="O27" s="26">
        <f>$AC$24</f>
        <v>1</v>
      </c>
      <c r="P27" s="27" t="s">
        <v>1</v>
      </c>
      <c r="Q27" s="28">
        <f>$AA$24</f>
        <v>2</v>
      </c>
      <c r="R27" s="60">
        <f>IF(COUNTBLANK(O27:Q27)=0,IF(O27&lt;Q27,0,IF(O27=Q27,1,3)),"")</f>
        <v>0</v>
      </c>
      <c r="S27" s="26">
        <f>$AC$25</f>
        <v>0</v>
      </c>
      <c r="T27" s="27" t="s">
        <v>1</v>
      </c>
      <c r="U27" s="28">
        <f>$AA$25</f>
        <v>5</v>
      </c>
      <c r="V27" s="60">
        <f>IF(COUNTBLANK(S27:U27)=0,IF(S27&lt;U27,0,IF(S27=U27,1,3)),"")</f>
        <v>0</v>
      </c>
      <c r="W27" s="26">
        <f>$AC$26</f>
        <v>1</v>
      </c>
      <c r="X27" s="27" t="s">
        <v>1</v>
      </c>
      <c r="Y27" s="28">
        <f>$AA$26</f>
        <v>2</v>
      </c>
      <c r="Z27" s="60">
        <f>IF(COUNTBLANK(W27:Y27)=0,IF(W27&lt;Y27,0,IF(W27=Y27,1,3)),"")</f>
        <v>0</v>
      </c>
      <c r="AA27" s="201" t="s">
        <v>20</v>
      </c>
      <c r="AB27" s="202"/>
      <c r="AC27" s="203"/>
      <c r="AD27" s="122"/>
      <c r="AE27" s="143">
        <f>IF(ISBLANK(Výsledky!E21),"",Výsledky!E21)</f>
        <v>0</v>
      </c>
      <c r="AF27" s="144" t="s">
        <v>1</v>
      </c>
      <c r="AG27" s="145">
        <f>IF(ISBLANK(Výsledky!G21),"",Výsledky!G21)</f>
        <v>1</v>
      </c>
      <c r="AH27" s="150">
        <f>IF(COUNTBLANK(AE27:AG27)=0,IF(AE27&lt;AG27,0,IF(AE27=AG27,1,3)),"")</f>
        <v>0</v>
      </c>
      <c r="AI27" s="26">
        <f>IF(ISBLANK(Výsledky!E28),"",Výsledky!E28)</f>
        <v>0</v>
      </c>
      <c r="AJ27" s="147" t="s">
        <v>1</v>
      </c>
      <c r="AK27" s="28">
        <f>IF(ISBLANK(Výsledky!G28),"",Výsledky!G28)</f>
        <v>2</v>
      </c>
      <c r="AL27" s="150">
        <f t="shared" si="18"/>
        <v>0</v>
      </c>
      <c r="AM27" s="96">
        <f>SUM(K27,O27,S27,W27,AE27,AI27)</f>
        <v>5</v>
      </c>
      <c r="AN27" s="97" t="s">
        <v>1</v>
      </c>
      <c r="AO27" s="94">
        <f>SUM(M27,Q27,U27,Y27,AG27,AK27)</f>
        <v>12</v>
      </c>
      <c r="AP27" s="95">
        <f>H25+H30+H34+H37+G40+G41</f>
        <v>3</v>
      </c>
      <c r="AQ27" s="92">
        <f t="shared" si="19"/>
        <v>-7</v>
      </c>
      <c r="AR27" s="90">
        <f t="shared" si="33"/>
        <v>7</v>
      </c>
      <c r="BA27" s="58">
        <f>RANK(BL27,BL23:BL29)</f>
        <v>7</v>
      </c>
      <c r="BB27" s="64" t="str">
        <f t="shared" si="20"/>
        <v>Wings</v>
      </c>
      <c r="BC27" s="64">
        <f t="shared" si="21"/>
        <v>3</v>
      </c>
      <c r="BD27" s="64">
        <f>SUM(IF(BC23=BC27,R27,0),IF(BC24=BC27,V27,0),IF(BC25=BC27,Z27,0),IF(BC26=BC27,AD27,0),IF(BC28=BC27,AH27,0),IF(BC29=BC27,AL27,0))</f>
        <v>0</v>
      </c>
      <c r="BE27" s="64">
        <f t="shared" si="22"/>
        <v>0</v>
      </c>
      <c r="BF27" s="64">
        <f>SUM(IF(BC23=BC27,O27,0),IF(BC24=BC27,S27,0),IF(BC25=BC27,W27,0),IF(BC26=BC27,AA27,0),IF(BC28=BC27,AE27,0),IF(BC29=BC27,AI27,0))</f>
        <v>0</v>
      </c>
      <c r="BG27" s="64">
        <f>SUM(IF(BC23=BC27,Q27,0),IF(BC24=BC27,U27,0),IF(BC25=BC27,Y27,0),IF(BC26=BC27,AC27,0),IF(BC28=BC27,AG27,0),IF(BC33=BC27,AK27,0))</f>
        <v>0</v>
      </c>
      <c r="BH27" s="64">
        <f t="shared" si="23"/>
        <v>-7</v>
      </c>
      <c r="BI27" s="64">
        <f t="shared" si="24"/>
        <v>5</v>
      </c>
      <c r="BJ27" s="64">
        <f t="shared" si="25"/>
        <v>0.4166666666666667</v>
      </c>
      <c r="BK27" s="55">
        <f>IF(Q21&gt;0,0,IF('[1]program'!T70=BB27,0.5,IF('[1]program'!T71=BB27,0.4,IF('[1]program'!T72=BB27,0.3,IF('[1]program'!T73=BB27,0.2,IF('[1]program'!T74=BB27,0.1,0))))))</f>
        <v>0</v>
      </c>
      <c r="BL27" s="54">
        <f t="shared" si="34"/>
        <v>2999999303.4166665</v>
      </c>
      <c r="BM27" s="54">
        <f t="shared" si="35"/>
        <v>3000028602.2499995</v>
      </c>
      <c r="BN27" s="64">
        <f>RANK(BM27,BM23:BM29)</f>
        <v>7</v>
      </c>
      <c r="BO27" s="54"/>
      <c r="BP27" s="64">
        <f t="shared" si="26"/>
      </c>
      <c r="BQ27" s="64">
        <f t="shared" si="27"/>
      </c>
      <c r="BR27" s="64">
        <f t="shared" si="28"/>
      </c>
      <c r="BS27" s="64">
        <f t="shared" si="29"/>
      </c>
      <c r="BT27" s="64">
        <f t="shared" si="30"/>
      </c>
      <c r="BU27" s="64">
        <f t="shared" si="31"/>
      </c>
      <c r="BV27" s="64" t="str">
        <f t="shared" si="36"/>
        <v>Wings</v>
      </c>
      <c r="BW27" s="54" t="s">
        <v>70</v>
      </c>
      <c r="BX27" s="64" t="str">
        <f>IF(COUNTBLANK(BT23:BT29)=7,BY27,"5B")</f>
        <v>5B</v>
      </c>
      <c r="BY27" s="64" t="str">
        <f>IF(F20=0,IF(BZ27=1,VLOOKUP(5,BA23:BB29,2,0),IF(BZ27=2,"los2",IF(BZ27=3,"los3""5B"))),"5B")</f>
        <v>st.garda FCH </v>
      </c>
      <c r="BZ27" s="64">
        <f>IF(F20=0,7-COUNTBLANK(BT23:BT29),0)</f>
        <v>1</v>
      </c>
      <c r="CA27" s="54">
        <f>IF(BZ27=2,IF(BB23=5,BC23,IF(BB24=5,BC24,IF(BB25=5,BC25,IF(BB26=5,BC26,BC27)))),"")</f>
      </c>
      <c r="CB27" s="55">
        <f>IF(BZ27&lt;2,"",IF(CHOOSE(MATCH(CA27,BU23:BU28,0)+1,BU23,BU24,BU25,BU26,BU27,BU28)="",IF(CHOOSE(MATCH(CA27,BU23:BU28,0)+2,BU23,BU24,BU25,BU26,BU27,BU28)="",IF(CHOOSE(MATCH(CA27,BU23:BU28,0)+3,BU23,BU24,BU25,BU26,BU27,BU28)="",IF(CHOOSE(MATCH(CA27,BU23:BU28,0)+4,BU23,BU24,BU25,BU26,BU27,BU28)="",CHOOSE(MATCH(CA27,BU23:BU28,0)+5,BU23,BU24,BU25,BU26,BU27,BU28),CHOOSE(MATCH(CA27,BU23:BU28,0)+4,BU23,BU24,BU25,BU26,BU27,BU28)),CHOOSE(MATCH(CA27,BU23:BU28,0)+3,BU23,BU24,BU25,BU26,BU27,BU28)),CHOOSE(MATCH(CA27,BU23:BU28,0)+2,BU23,BU24,BU25,BU26,BU27,BU28)),CHOOSE(MATCH(CA27,BU23:BU28,0)+1,BU23,BU24,BU25,BU26,BU27,BU28)))</f>
      </c>
      <c r="CC27" s="55"/>
      <c r="CD27" s="55"/>
      <c r="CE27" s="55"/>
      <c r="CF27" s="54"/>
    </row>
    <row r="28" spans="2:84" s="34" customFormat="1" ht="19.5" customHeight="1">
      <c r="B28" s="149">
        <v>8</v>
      </c>
      <c r="C28" s="149">
        <f>$S$24</f>
        <v>1</v>
      </c>
      <c r="D28" s="152" t="s">
        <v>1</v>
      </c>
      <c r="E28" s="149">
        <f>$U$24</f>
        <v>2</v>
      </c>
      <c r="F28" s="149">
        <v>9</v>
      </c>
      <c r="G28" s="64">
        <f t="shared" si="16"/>
        <v>0</v>
      </c>
      <c r="H28" s="64">
        <f t="shared" si="17"/>
        <v>3</v>
      </c>
      <c r="J28" s="151" t="str">
        <f>Týmy!$B$15</f>
        <v>St.garda H.Jiřetín</v>
      </c>
      <c r="K28" s="26">
        <f>$AG$23</f>
        <v>0</v>
      </c>
      <c r="L28" s="27" t="s">
        <v>1</v>
      </c>
      <c r="M28" s="28">
        <f>$AE$23</f>
        <v>2</v>
      </c>
      <c r="N28" s="60">
        <f t="shared" si="32"/>
        <v>0</v>
      </c>
      <c r="O28" s="26">
        <f>$AG$24</f>
        <v>1</v>
      </c>
      <c r="P28" s="27" t="s">
        <v>1</v>
      </c>
      <c r="Q28" s="28">
        <f>$AE$24</f>
        <v>2</v>
      </c>
      <c r="R28" s="60">
        <f>IF(COUNTBLANK(O28:Q28)=0,IF(O28&lt;Q28,0,IF(O28=Q28,1,3)),"")</f>
        <v>0</v>
      </c>
      <c r="S28" s="26">
        <f>$AG$25</f>
        <v>0</v>
      </c>
      <c r="T28" s="27" t="s">
        <v>1</v>
      </c>
      <c r="U28" s="28">
        <f>$AE$25</f>
        <v>3</v>
      </c>
      <c r="V28" s="60">
        <f>IF(COUNTBLANK(S28:U28)=0,IF(S28&lt;U28,0,IF(S28=U28,1,3)),"")</f>
        <v>0</v>
      </c>
      <c r="W28" s="26">
        <f>$AG$26</f>
        <v>0</v>
      </c>
      <c r="X28" s="27" t="s">
        <v>1</v>
      </c>
      <c r="Y28" s="28">
        <f>$AE$26</f>
        <v>0</v>
      </c>
      <c r="Z28" s="60">
        <f>IF(COUNTBLANK(W28:Y28)=0,IF(W28&lt;Y28,0,IF(W28=Y28,1,3)),"")</f>
        <v>1</v>
      </c>
      <c r="AA28" s="26">
        <f>$AG$27</f>
        <v>1</v>
      </c>
      <c r="AB28" s="27" t="s">
        <v>1</v>
      </c>
      <c r="AC28" s="28">
        <f>$AE$27</f>
        <v>0</v>
      </c>
      <c r="AD28" s="60">
        <f>IF(COUNTBLANK(AA28:AC28)=0,IF(AA28&lt;AC28,0,IF(AA28=AC28,1,3)),"")</f>
        <v>3</v>
      </c>
      <c r="AE28" s="207" t="s">
        <v>20</v>
      </c>
      <c r="AF28" s="208"/>
      <c r="AG28" s="209"/>
      <c r="AH28" s="120"/>
      <c r="AI28" s="11">
        <f>IF(ISBLANK(Výsledky!E25),"",Výsledky!E25)</f>
        <v>0</v>
      </c>
      <c r="AJ28" s="146" t="s">
        <v>1</v>
      </c>
      <c r="AK28" s="10">
        <f>IF(ISBLANK(Výsledky!G25),"",Výsledky!G25)</f>
        <v>0</v>
      </c>
      <c r="AL28" s="150">
        <f t="shared" si="18"/>
        <v>1</v>
      </c>
      <c r="AM28" s="92">
        <f>SUM(K28,O28,S28,W28,AA28,AI28)</f>
        <v>2</v>
      </c>
      <c r="AN28" s="93" t="s">
        <v>1</v>
      </c>
      <c r="AO28" s="94">
        <f>SUM(M28,Q28,U28,Y28,AC28,AK28)</f>
        <v>7</v>
      </c>
      <c r="AP28" s="95">
        <f>H26+H31+H35+H38+H40+G42</f>
        <v>5</v>
      </c>
      <c r="AQ28" s="92">
        <f t="shared" si="19"/>
        <v>-5</v>
      </c>
      <c r="AR28" s="90">
        <f t="shared" si="33"/>
        <v>6</v>
      </c>
      <c r="BA28" s="58">
        <f>RANK(BL28,BL23:BL29)</f>
        <v>6</v>
      </c>
      <c r="BB28" s="64" t="str">
        <f t="shared" si="20"/>
        <v>St.garda H.Jiřetín</v>
      </c>
      <c r="BC28" s="64">
        <f t="shared" si="21"/>
        <v>5</v>
      </c>
      <c r="BD28" s="64">
        <f>SUM(IF(BC23=BC28,R28,0),IF(BC24=BC28,V28,0),IF(BC25=BC28,Z28,0),IF(BC26=BC28,AD28,0),IF(BC27=BC28,AH28,0),IF(BC29=BC28,AL28,0))</f>
        <v>0</v>
      </c>
      <c r="BE28" s="64">
        <f t="shared" si="22"/>
        <v>0</v>
      </c>
      <c r="BF28" s="64">
        <f>SUM(IF(BC23=BC28,O28,0),IF(BC24=BC28,S28,0),IF(BC25=BC28,W28,0),IF(BC26=BC28,AA28,0),IF(BC27=BC28,AE28,0),IF(BC29=BC28,AI28,0))</f>
        <v>0</v>
      </c>
      <c r="BG28" s="64">
        <f>SUM(IF(BC23=BC28,Q28,0),IF(BC24=BC28,U28,0),IF(BC25=BC28,Y28,0),IF(BC26=BC28,AC28,0),IF(BC27=BC28,AG28,0),IF(BC29=BC28,AK28,0))</f>
        <v>0</v>
      </c>
      <c r="BH28" s="64">
        <f t="shared" si="23"/>
        <v>-5</v>
      </c>
      <c r="BI28" s="64">
        <f t="shared" si="24"/>
        <v>2</v>
      </c>
      <c r="BJ28" s="64">
        <f t="shared" si="25"/>
        <v>0.2857142857142857</v>
      </c>
      <c r="BK28" s="55">
        <f>IF(Q21&gt;0,0,IF('[1]program'!T70=BB28,0.5,IF('[1]program'!T71=BB28,0.4,IF('[1]program'!T72=BB28,0.3,IF('[1]program'!T73=BB28,0.2,IF('[1]program'!T74=BB28,0.1,0))))))</f>
        <v>0</v>
      </c>
      <c r="BL28" s="54">
        <f t="shared" si="34"/>
        <v>4999999499.285714</v>
      </c>
      <c r="BM28" s="54">
        <f t="shared" si="35"/>
        <v>5000048996.857142</v>
      </c>
      <c r="BN28" s="64">
        <f>RANK(BM28,BM23:BM29)</f>
        <v>6</v>
      </c>
      <c r="BO28" s="54"/>
      <c r="BP28" s="64">
        <f t="shared" si="26"/>
      </c>
      <c r="BQ28" s="64">
        <f t="shared" si="27"/>
      </c>
      <c r="BR28" s="64">
        <f t="shared" si="28"/>
      </c>
      <c r="BS28" s="64">
        <f t="shared" si="29"/>
      </c>
      <c r="BT28" s="64">
        <f t="shared" si="30"/>
      </c>
      <c r="BU28" s="64" t="str">
        <f t="shared" si="31"/>
        <v>St.garda H.Jiřetín</v>
      </c>
      <c r="BV28" s="64">
        <f t="shared" si="36"/>
      </c>
      <c r="BW28" s="54" t="s">
        <v>71</v>
      </c>
      <c r="BX28" s="64" t="str">
        <f>IF(COUNTBLANK(BU23:BU29)=7,BY28,"6B")</f>
        <v>6B</v>
      </c>
      <c r="BY28" s="64" t="str">
        <f>IF(F20=0,IF(BZ28=1,VLOOKUP(6,BA23:BB29,2,0),IF(BZ28=2,"los2""6B")),"6B")</f>
        <v>St.garda H.Jiřetín</v>
      </c>
      <c r="BZ28" s="64">
        <f>IF(F20=0,7-COUNTBLANK(BU23:BU29),0)</f>
        <v>1</v>
      </c>
      <c r="CA28" s="54"/>
      <c r="CB28" s="54"/>
      <c r="CC28" s="54"/>
      <c r="CD28" s="54"/>
      <c r="CE28" s="54"/>
      <c r="CF28" s="54"/>
    </row>
    <row r="29" spans="2:78" s="34" customFormat="1" ht="19.5" customHeight="1" thickBot="1">
      <c r="B29" s="149">
        <v>8</v>
      </c>
      <c r="C29" s="149">
        <f>$W$24</f>
        <v>2</v>
      </c>
      <c r="D29" s="152" t="s">
        <v>1</v>
      </c>
      <c r="E29" s="149">
        <f>$Y$24</f>
        <v>2</v>
      </c>
      <c r="F29" s="149">
        <v>10</v>
      </c>
      <c r="G29" s="64">
        <f t="shared" si="16"/>
        <v>1</v>
      </c>
      <c r="H29" s="64">
        <f t="shared" si="17"/>
        <v>1</v>
      </c>
      <c r="J29" s="167" t="str">
        <f>Týmy!$B$16</f>
        <v>st.garda FCH </v>
      </c>
      <c r="K29" s="162">
        <f>$AK$23</f>
        <v>0</v>
      </c>
      <c r="L29" s="163" t="s">
        <v>1</v>
      </c>
      <c r="M29" s="164">
        <f>$AI$23</f>
        <v>1</v>
      </c>
      <c r="N29" s="165">
        <f t="shared" si="32"/>
        <v>0</v>
      </c>
      <c r="O29" s="162">
        <f>$AK$24</f>
        <v>0</v>
      </c>
      <c r="P29" s="163" t="s">
        <v>1</v>
      </c>
      <c r="Q29" s="164">
        <f>$AI$24</f>
        <v>0</v>
      </c>
      <c r="R29" s="165">
        <f>IF(COUNTBLANK(O29:Q29)=0,IF(O29&lt;Q29,0,IF(O29=Q29,1,3)),"")</f>
        <v>1</v>
      </c>
      <c r="S29" s="162">
        <f>$AK$25</f>
        <v>1</v>
      </c>
      <c r="T29" s="163" t="s">
        <v>1</v>
      </c>
      <c r="U29" s="164">
        <f>$AI$25</f>
        <v>1</v>
      </c>
      <c r="V29" s="165">
        <f>IF(COUNTBLANK(S29:U29)=0,IF(S29&lt;U29,0,IF(S29=U29,1,3)),"")</f>
        <v>1</v>
      </c>
      <c r="W29" s="162">
        <f>$AK$26</f>
        <v>0</v>
      </c>
      <c r="X29" s="163" t="s">
        <v>1</v>
      </c>
      <c r="Y29" s="164">
        <f>$AI$26</f>
        <v>1</v>
      </c>
      <c r="Z29" s="165">
        <f>IF(COUNTBLANK(W29:Y29)=0,IF(W29&lt;Y29,0,IF(W29=Y29,1,3)),"")</f>
        <v>0</v>
      </c>
      <c r="AA29" s="162">
        <f>$AK$27</f>
        <v>2</v>
      </c>
      <c r="AB29" s="163" t="s">
        <v>1</v>
      </c>
      <c r="AC29" s="164">
        <f>$AI$27</f>
        <v>0</v>
      </c>
      <c r="AD29" s="165">
        <f>IF(COUNTBLANK(AA29:AC29)=0,IF(AA29&lt;AC29,0,IF(AA29=AC29,1,3)),"")</f>
        <v>3</v>
      </c>
      <c r="AE29" s="162">
        <f>$AK$28</f>
        <v>0</v>
      </c>
      <c r="AF29" s="163" t="s">
        <v>1</v>
      </c>
      <c r="AG29" s="164">
        <f>$AI$28</f>
        <v>0</v>
      </c>
      <c r="AH29" s="87">
        <f>IF(COUNTBLANK(AE29:AG29)=0,IF(AE29&lt;AG29,0,IF(AE29=AG29,1,3)),"")</f>
        <v>1</v>
      </c>
      <c r="AI29" s="216" t="s">
        <v>20</v>
      </c>
      <c r="AJ29" s="217"/>
      <c r="AK29" s="218"/>
      <c r="AL29" s="148"/>
      <c r="AM29" s="153">
        <f>SUM(K29,O29,S29,W29,AA29,AE29)</f>
        <v>3</v>
      </c>
      <c r="AN29" s="154" t="s">
        <v>1</v>
      </c>
      <c r="AO29" s="155">
        <f>SUM(M29,Q29,U29,Y29,AC29,AG29)</f>
        <v>3</v>
      </c>
      <c r="AP29" s="156">
        <f>H27+H32+H36+H39+H41+H42</f>
        <v>6</v>
      </c>
      <c r="AQ29" s="153">
        <f>SUM(AM29-AO29)</f>
        <v>0</v>
      </c>
      <c r="AR29" s="91">
        <f t="shared" si="33"/>
        <v>5</v>
      </c>
      <c r="BA29" s="58">
        <f>RANK(BL29,BL23:BL29)</f>
        <v>5</v>
      </c>
      <c r="BB29" s="64" t="str">
        <f t="shared" si="20"/>
        <v>st.garda FCH </v>
      </c>
      <c r="BC29" s="64">
        <f t="shared" si="21"/>
        <v>6</v>
      </c>
      <c r="BD29" s="64">
        <f>SUM(IF(BC23=BC29,R29,0),IF(BC24=BC29,V29,0),IF(BC25=BC29,Z29,0),IF(BC26=BC29,AD29,0),IF(BC27=BC29,AH29,0),IF(BC28=BC29,AL29,0))</f>
        <v>0</v>
      </c>
      <c r="BE29" s="64">
        <f t="shared" si="22"/>
        <v>0</v>
      </c>
      <c r="BF29" s="64">
        <f>SUM(IF(BC23=BC29,O29,0),IF(BC24=BC29,S29,0),IF(BC25=BC29,W29,0),IF(BC26=BC29,AA29,0),IF(BC27=BC29,AE29,0),IF(BC28=BC29,AI29,0))</f>
        <v>0</v>
      </c>
      <c r="BG29" s="64">
        <f>SUM(IF(BC23=BC29,Q29,0),IF(BC24=BC29,U29,0),IF(BC25=BC29,Y29,0),IF(BC26=BC29,AC29,0),IF(BC27=BC29,AG29,0),IF(BC28=BC29,AK29,0))</f>
        <v>0</v>
      </c>
      <c r="BH29" s="64">
        <f t="shared" si="23"/>
        <v>0</v>
      </c>
      <c r="BI29" s="64">
        <f t="shared" si="24"/>
        <v>3</v>
      </c>
      <c r="BJ29" s="64">
        <f t="shared" si="25"/>
        <v>1</v>
      </c>
      <c r="BK29" s="55">
        <f>IF(Q22&gt;0,0,IF('[1]program'!T71=BB29,0.5,IF('[1]program'!T72=BB29,0.4,IF('[1]program'!T73=BB29,0.3,IF('[1]program'!T74=BB29,0.2,IF('[1]program'!T75=BB29,0.1,0))))))</f>
        <v>0</v>
      </c>
      <c r="BL29" s="54">
        <f t="shared" si="34"/>
        <v>6000000007</v>
      </c>
      <c r="BM29" s="54">
        <f t="shared" si="35"/>
        <v>6000060012</v>
      </c>
      <c r="BN29" s="64">
        <f>RANK(BM29,BM23:BM29)</f>
        <v>5</v>
      </c>
      <c r="BP29" s="64">
        <f t="shared" si="26"/>
      </c>
      <c r="BQ29" s="64">
        <f t="shared" si="27"/>
      </c>
      <c r="BR29" s="64">
        <f t="shared" si="28"/>
      </c>
      <c r="BS29" s="64">
        <f t="shared" si="29"/>
      </c>
      <c r="BT29" s="64" t="str">
        <f t="shared" si="30"/>
        <v>st.garda FCH </v>
      </c>
      <c r="BU29" s="64">
        <f t="shared" si="31"/>
      </c>
      <c r="BV29" s="64">
        <f t="shared" si="36"/>
      </c>
      <c r="BW29" s="55" t="s">
        <v>81</v>
      </c>
      <c r="BX29" s="64" t="str">
        <f>IF(COUNTBLANK(BV23:BV29)=7,BY29,"7B")</f>
        <v>7B</v>
      </c>
      <c r="BY29" s="64" t="str">
        <f>IF(F20=0,IF(BZ29=1,VLOOKUP(7,BA23:BB29,2,0),"7B"),"7B")</f>
        <v>Wings</v>
      </c>
      <c r="BZ29" s="64">
        <f>IF(F20=0,7-COUNTBLANK(BV23:BV29),0)</f>
        <v>1</v>
      </c>
    </row>
    <row r="30" spans="2:8" ht="19.5" customHeight="1" thickTop="1">
      <c r="B30" s="149">
        <v>8</v>
      </c>
      <c r="C30" s="149">
        <f>$AA$24</f>
        <v>2</v>
      </c>
      <c r="D30" s="152" t="s">
        <v>1</v>
      </c>
      <c r="E30" s="149">
        <f>$AC$24</f>
        <v>1</v>
      </c>
      <c r="F30" s="149">
        <v>11</v>
      </c>
      <c r="G30" s="64">
        <f t="shared" si="16"/>
        <v>3</v>
      </c>
      <c r="H30" s="64">
        <f t="shared" si="17"/>
        <v>0</v>
      </c>
    </row>
    <row r="31" spans="2:8" ht="19.5" customHeight="1">
      <c r="B31" s="149">
        <v>8</v>
      </c>
      <c r="C31" s="149">
        <f>$AE$24</f>
        <v>2</v>
      </c>
      <c r="D31" s="152" t="s">
        <v>1</v>
      </c>
      <c r="E31" s="149">
        <f>$AG$24</f>
        <v>1</v>
      </c>
      <c r="F31" s="149">
        <v>12</v>
      </c>
      <c r="G31" s="64">
        <f t="shared" si="16"/>
        <v>3</v>
      </c>
      <c r="H31" s="64">
        <f t="shared" si="17"/>
        <v>0</v>
      </c>
    </row>
    <row r="32" spans="2:8" ht="19.5" customHeight="1">
      <c r="B32" s="149">
        <v>8</v>
      </c>
      <c r="C32" s="149">
        <f>$AI$24</f>
        <v>0</v>
      </c>
      <c r="D32" s="152" t="s">
        <v>1</v>
      </c>
      <c r="E32" s="149">
        <f>$AK$24</f>
        <v>0</v>
      </c>
      <c r="F32" s="149">
        <v>13</v>
      </c>
      <c r="G32" s="64">
        <f t="shared" si="16"/>
        <v>1</v>
      </c>
      <c r="H32" s="64">
        <f t="shared" si="17"/>
        <v>1</v>
      </c>
    </row>
    <row r="33" spans="2:8" ht="19.5" customHeight="1">
      <c r="B33" s="149">
        <v>9</v>
      </c>
      <c r="C33" s="149">
        <f>$W$25</f>
        <v>1</v>
      </c>
      <c r="D33" s="152" t="s">
        <v>1</v>
      </c>
      <c r="E33" s="149">
        <f>$Y$25</f>
        <v>0</v>
      </c>
      <c r="F33" s="149">
        <v>10</v>
      </c>
      <c r="G33" s="64">
        <f t="shared" si="16"/>
        <v>3</v>
      </c>
      <c r="H33" s="64">
        <f t="shared" si="17"/>
        <v>0</v>
      </c>
    </row>
    <row r="34" spans="2:8" ht="19.5" customHeight="1">
      <c r="B34" s="149">
        <v>9</v>
      </c>
      <c r="C34" s="149">
        <f>$AA$25</f>
        <v>5</v>
      </c>
      <c r="D34" s="152" t="s">
        <v>1</v>
      </c>
      <c r="E34" s="149">
        <f>$AC$25</f>
        <v>0</v>
      </c>
      <c r="F34" s="149">
        <v>11</v>
      </c>
      <c r="G34" s="64">
        <f t="shared" si="16"/>
        <v>3</v>
      </c>
      <c r="H34" s="64">
        <f t="shared" si="17"/>
        <v>0</v>
      </c>
    </row>
    <row r="35" spans="2:8" ht="19.5" customHeight="1">
      <c r="B35" s="149">
        <v>9</v>
      </c>
      <c r="C35" s="149">
        <f>$AE$25</f>
        <v>3</v>
      </c>
      <c r="D35" s="152" t="s">
        <v>1</v>
      </c>
      <c r="E35" s="149">
        <f>$AG$25</f>
        <v>0</v>
      </c>
      <c r="F35" s="149">
        <v>12</v>
      </c>
      <c r="G35" s="64">
        <f t="shared" si="16"/>
        <v>3</v>
      </c>
      <c r="H35" s="64">
        <f t="shared" si="17"/>
        <v>0</v>
      </c>
    </row>
    <row r="36" spans="2:8" ht="19.5" customHeight="1">
      <c r="B36" s="149">
        <v>9</v>
      </c>
      <c r="C36" s="149">
        <f>$AI$25</f>
        <v>1</v>
      </c>
      <c r="D36" s="152" t="s">
        <v>1</v>
      </c>
      <c r="E36" s="149">
        <f>$AK$25</f>
        <v>1</v>
      </c>
      <c r="F36" s="149">
        <v>13</v>
      </c>
      <c r="G36" s="64">
        <f t="shared" si="16"/>
        <v>1</v>
      </c>
      <c r="H36" s="64">
        <f t="shared" si="17"/>
        <v>1</v>
      </c>
    </row>
    <row r="37" spans="2:8" ht="19.5" customHeight="1">
      <c r="B37" s="149">
        <v>10</v>
      </c>
      <c r="C37" s="149">
        <f>$AA$26</f>
        <v>2</v>
      </c>
      <c r="D37" s="152" t="s">
        <v>1</v>
      </c>
      <c r="E37" s="149">
        <f>$AC$26</f>
        <v>1</v>
      </c>
      <c r="F37" s="149">
        <v>11</v>
      </c>
      <c r="G37" s="64">
        <f t="shared" si="16"/>
        <v>3</v>
      </c>
      <c r="H37" s="64">
        <f t="shared" si="17"/>
        <v>0</v>
      </c>
    </row>
    <row r="38" spans="2:8" ht="19.5" customHeight="1">
      <c r="B38" s="149">
        <v>10</v>
      </c>
      <c r="C38" s="149">
        <f>$AE$26</f>
        <v>0</v>
      </c>
      <c r="D38" s="152" t="s">
        <v>1</v>
      </c>
      <c r="E38" s="149">
        <f>$AG$26</f>
        <v>0</v>
      </c>
      <c r="F38" s="149">
        <v>12</v>
      </c>
      <c r="G38" s="64">
        <f t="shared" si="16"/>
        <v>1</v>
      </c>
      <c r="H38" s="64">
        <f t="shared" si="17"/>
        <v>1</v>
      </c>
    </row>
    <row r="39" spans="2:8" ht="19.5" customHeight="1">
      <c r="B39" s="149">
        <v>10</v>
      </c>
      <c r="C39" s="149">
        <f>$AI$26</f>
        <v>1</v>
      </c>
      <c r="D39" s="152" t="s">
        <v>1</v>
      </c>
      <c r="E39" s="149">
        <f>$AK$26</f>
        <v>0</v>
      </c>
      <c r="F39" s="149">
        <v>13</v>
      </c>
      <c r="G39" s="64">
        <f t="shared" si="16"/>
        <v>3</v>
      </c>
      <c r="H39" s="64">
        <f t="shared" si="17"/>
        <v>0</v>
      </c>
    </row>
    <row r="40" spans="2:8" ht="19.5" customHeight="1">
      <c r="B40" s="149">
        <v>11</v>
      </c>
      <c r="C40" s="149">
        <f>$AE$27</f>
        <v>0</v>
      </c>
      <c r="D40" s="152" t="s">
        <v>1</v>
      </c>
      <c r="E40" s="149">
        <f>$AG$27</f>
        <v>1</v>
      </c>
      <c r="F40" s="149">
        <v>12</v>
      </c>
      <c r="G40" s="64">
        <f t="shared" si="16"/>
        <v>0</v>
      </c>
      <c r="H40" s="64">
        <f t="shared" si="17"/>
        <v>3</v>
      </c>
    </row>
    <row r="41" spans="2:8" ht="19.5" customHeight="1">
      <c r="B41" s="149">
        <v>11</v>
      </c>
      <c r="C41" s="149">
        <f>$AI$27</f>
        <v>0</v>
      </c>
      <c r="D41" s="152" t="s">
        <v>1</v>
      </c>
      <c r="E41" s="149">
        <f>$AK$27</f>
        <v>2</v>
      </c>
      <c r="F41" s="149">
        <v>13</v>
      </c>
      <c r="G41" s="64">
        <f t="shared" si="16"/>
        <v>0</v>
      </c>
      <c r="H41" s="64">
        <f t="shared" si="17"/>
        <v>3</v>
      </c>
    </row>
    <row r="42" spans="2:8" ht="19.5" customHeight="1">
      <c r="B42" s="149">
        <v>12</v>
      </c>
      <c r="C42" s="149">
        <f>$AI$28</f>
        <v>0</v>
      </c>
      <c r="D42" s="152" t="s">
        <v>1</v>
      </c>
      <c r="E42" s="149">
        <f>$AK$28</f>
        <v>0</v>
      </c>
      <c r="F42" s="149">
        <v>13</v>
      </c>
      <c r="G42" s="64">
        <f t="shared" si="16"/>
        <v>1</v>
      </c>
      <c r="H42" s="64">
        <f t="shared" si="17"/>
        <v>1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sheet="1"/>
  <protectedRanges>
    <protectedRange sqref="AR4:AR9 AR23:AR29" name="Oblast1"/>
  </protectedRanges>
  <mergeCells count="28">
    <mergeCell ref="K3:M3"/>
    <mergeCell ref="O3:Q3"/>
    <mergeCell ref="S3:U3"/>
    <mergeCell ref="W3:Y3"/>
    <mergeCell ref="AI29:AK29"/>
    <mergeCell ref="AI22:AK22"/>
    <mergeCell ref="AE9:AG9"/>
    <mergeCell ref="K22:M22"/>
    <mergeCell ref="O22:Q22"/>
    <mergeCell ref="S22:U22"/>
    <mergeCell ref="K4:M4"/>
    <mergeCell ref="AE28:AG28"/>
    <mergeCell ref="AE22:AG22"/>
    <mergeCell ref="AM3:AO3"/>
    <mergeCell ref="W7:Y7"/>
    <mergeCell ref="AA3:AC3"/>
    <mergeCell ref="AE3:AG3"/>
    <mergeCell ref="AA22:AC22"/>
    <mergeCell ref="AM22:AO22"/>
    <mergeCell ref="O5:Q5"/>
    <mergeCell ref="S6:U6"/>
    <mergeCell ref="AA27:AC27"/>
    <mergeCell ref="K23:M23"/>
    <mergeCell ref="O24:Q24"/>
    <mergeCell ref="S25:U25"/>
    <mergeCell ref="W26:Y26"/>
    <mergeCell ref="AA8:AC8"/>
    <mergeCell ref="W22:Y22"/>
  </mergeCells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F2 F17:F18 F5:F9 AR5:AR9 F10:F14 B10:B18 BA5:BA9 AP5:AP9 B5:B9 D10:D18 D5:D9 C5:C9 E5:E9 AH9 AP23:AP29 E4 E10:E18 C4 C10:C18 D4 B4 AP4 BA4 AR4 F4 R5 V6 Z7 AD8 F20 N23:Q23 BW4:BW9 BX5:BX9 O29:Q29 O24:U24 O25:Q25 O26:Q26 O27:Q27 O28:Q28 S23:U23 S25:Y25 S26:U26 S27:U27 S28:U28 S29:U29 W23:Y23 W24:Y24 W26:AC26 W27:Y27 W28:Y28 W29:Y29 AA23:AC23 AA24:AC24 AA25:AC25 AA27:AG27 AA28:AC28 AA29:AC29 AE23:AG23 AE24:AG24 AE25:AG25 AE26:AG26 AE28:AK28 AE29:AG29 AI23:AK23 AI24:AK24 AI25:AK25 AI26:AK26 AI27:AK27 AI29:AL29" unlockedFormula="1"/>
    <ignoredError sqref="F15:F16" formula="1" unlockedFormula="1"/>
    <ignoredError sqref="AO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B16"/>
  <sheetViews>
    <sheetView tabSelected="1" zoomScalePageLayoutView="0" workbookViewId="0" topLeftCell="A1">
      <selection activeCell="H5" sqref="H5"/>
    </sheetView>
  </sheetViews>
  <sheetFormatPr defaultColWidth="9.140625" defaultRowHeight="19.5" customHeight="1"/>
  <cols>
    <col min="1" max="1" width="17.28125" style="158" customWidth="1"/>
    <col min="2" max="2" width="53.7109375" style="0" customWidth="1"/>
  </cols>
  <sheetData>
    <row r="2" ht="8.25" customHeight="1" thickBot="1"/>
    <row r="3" spans="1:2" ht="30" customHeight="1" thickBot="1" thickTop="1">
      <c r="A3" s="186" t="s">
        <v>22</v>
      </c>
      <c r="B3" s="224"/>
    </row>
    <row r="4" spans="1:2" ht="30" customHeight="1" thickTop="1">
      <c r="A4" s="159">
        <v>1</v>
      </c>
      <c r="B4" s="104" t="str">
        <f>Výsledky!$K$51</f>
        <v>Hyeny</v>
      </c>
    </row>
    <row r="5" spans="1:2" ht="30" customHeight="1">
      <c r="A5" s="160">
        <v>2</v>
      </c>
      <c r="B5" s="105" t="str">
        <f>Výsledky!$L$51</f>
        <v>Partizan Most</v>
      </c>
    </row>
    <row r="6" spans="1:2" ht="30" customHeight="1">
      <c r="A6" s="160">
        <v>3</v>
      </c>
      <c r="B6" s="105" t="str">
        <f>Výsledky!$K$49</f>
        <v>Sp.Chomutov U-18</v>
      </c>
    </row>
    <row r="7" spans="1:2" ht="30" customHeight="1">
      <c r="A7" s="160">
        <v>4</v>
      </c>
      <c r="B7" s="105" t="str">
        <f>Výsledky!$L$49</f>
        <v>Mako Litvínov</v>
      </c>
    </row>
    <row r="8" spans="1:2" ht="30" customHeight="1">
      <c r="A8" s="160" t="s">
        <v>82</v>
      </c>
      <c r="B8" s="105" t="str">
        <f>Výsledky!$L$41</f>
        <v>FCH Most</v>
      </c>
    </row>
    <row r="9" spans="1:2" ht="30" customHeight="1">
      <c r="A9" s="160" t="s">
        <v>82</v>
      </c>
      <c r="B9" s="105" t="str">
        <f>Výsledky!$L$42</f>
        <v>Kralda team</v>
      </c>
    </row>
    <row r="10" spans="1:2" ht="30" customHeight="1">
      <c r="A10" s="160" t="s">
        <v>82</v>
      </c>
      <c r="B10" s="105" t="str">
        <f>Výsledky!$L$43</f>
        <v>Kopisty</v>
      </c>
    </row>
    <row r="11" spans="1:2" ht="30" customHeight="1">
      <c r="A11" s="160" t="s">
        <v>82</v>
      </c>
      <c r="B11" s="105" t="str">
        <f>Výsledky!$L$44</f>
        <v>Gamblers Most</v>
      </c>
    </row>
    <row r="12" spans="1:2" ht="30" customHeight="1">
      <c r="A12" s="160" t="s">
        <v>83</v>
      </c>
      <c r="B12" s="105" t="str">
        <f>Tabulky!$BW$8</f>
        <v>Real Most</v>
      </c>
    </row>
    <row r="13" spans="1:2" ht="30" customHeight="1">
      <c r="A13" s="160" t="s">
        <v>83</v>
      </c>
      <c r="B13" s="105" t="str">
        <f>Tabulky!$BW$9</f>
        <v>FOSY </v>
      </c>
    </row>
    <row r="14" spans="1:2" ht="30" customHeight="1">
      <c r="A14" s="160" t="s">
        <v>83</v>
      </c>
      <c r="B14" s="105" t="str">
        <f>Tabulky!$BY$27</f>
        <v>st.garda FCH </v>
      </c>
    </row>
    <row r="15" spans="1:2" ht="30" customHeight="1">
      <c r="A15" s="160" t="s">
        <v>83</v>
      </c>
      <c r="B15" s="157" t="str">
        <f>Tabulky!$BY$28</f>
        <v>St.garda H.Jiřetín</v>
      </c>
    </row>
    <row r="16" spans="1:2" ht="30" customHeight="1" thickBot="1">
      <c r="A16" s="161" t="s">
        <v>83</v>
      </c>
      <c r="B16" s="106" t="str">
        <f>Tabulky!$BY$29</f>
        <v>Wings</v>
      </c>
    </row>
    <row r="17" ht="19.5" customHeight="1" thickTop="1"/>
  </sheetData>
  <sheetProtection sheet="1" objects="1" scenarios="1"/>
  <mergeCells count="1"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Rafinery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Alta</cp:lastModifiedBy>
  <cp:lastPrinted>2009-12-22T10:55:08Z</cp:lastPrinted>
  <dcterms:created xsi:type="dcterms:W3CDTF">2008-09-24T08:56:41Z</dcterms:created>
  <dcterms:modified xsi:type="dcterms:W3CDTF">2012-09-17T13:37:17Z</dcterms:modified>
  <cp:category/>
  <cp:version/>
  <cp:contentType/>
  <cp:contentStatus/>
</cp:coreProperties>
</file>