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700" activeTab="5"/>
  </bookViews>
  <sheets>
    <sheet name="Týmy" sheetId="1" r:id="rId1"/>
    <sheet name="Rozpis zápasů" sheetId="2" r:id="rId2"/>
    <sheet name="Výsledky" sheetId="3" r:id="rId3"/>
    <sheet name="Tabulky" sheetId="4" r:id="rId4"/>
    <sheet name="Konečné pořadí" sheetId="5" r:id="rId5"/>
    <sheet name="Střelec" sheetId="6" r:id="rId6"/>
  </sheets>
  <externalReferences>
    <externalReference r:id="rId9"/>
  </externalReferences>
  <definedNames>
    <definedName name="_xlnm._FilterDatabase" localSheetId="5" hidden="1">'Střelec'!$B$1:$B$162</definedName>
  </definedNames>
  <calcPr fullCalcOnLoad="1"/>
</workbook>
</file>

<file path=xl/sharedStrings.xml><?xml version="1.0" encoding="utf-8"?>
<sst xmlns="http://schemas.openxmlformats.org/spreadsheetml/2006/main" count="546" uniqueCount="180">
  <si>
    <t>Výsledek</t>
  </si>
  <si>
    <t>:</t>
  </si>
  <si>
    <t>Utkání</t>
  </si>
  <si>
    <r>
      <t xml:space="preserve">Skupina </t>
    </r>
    <r>
      <rPr>
        <b/>
        <sz val="26"/>
        <rFont val="Arial"/>
        <family val="2"/>
      </rPr>
      <t>A</t>
    </r>
  </si>
  <si>
    <r>
      <t xml:space="preserve">Skupina </t>
    </r>
    <r>
      <rPr>
        <b/>
        <sz val="26"/>
        <rFont val="Arial"/>
        <family val="2"/>
      </rPr>
      <t>B</t>
    </r>
  </si>
  <si>
    <r>
      <t xml:space="preserve">Skupina </t>
    </r>
    <r>
      <rPr>
        <b/>
        <sz val="26"/>
        <rFont val="Arial"/>
        <family val="2"/>
      </rPr>
      <t>C</t>
    </r>
  </si>
  <si>
    <t>Skupina D</t>
  </si>
  <si>
    <t>9:00</t>
  </si>
  <si>
    <t>11:00</t>
  </si>
  <si>
    <t>12:00</t>
  </si>
  <si>
    <t>12:30</t>
  </si>
  <si>
    <t>13:30</t>
  </si>
  <si>
    <t>14:30</t>
  </si>
  <si>
    <t>Čtvrtfinále</t>
  </si>
  <si>
    <t>Semifinále</t>
  </si>
  <si>
    <t>Finále</t>
  </si>
  <si>
    <t>9:15</t>
  </si>
  <si>
    <t>9:30</t>
  </si>
  <si>
    <t>9:45</t>
  </si>
  <si>
    <t>10:00</t>
  </si>
  <si>
    <t>10:30</t>
  </si>
  <si>
    <t>10:45</t>
  </si>
  <si>
    <t>11:15</t>
  </si>
  <si>
    <t>11:30</t>
  </si>
  <si>
    <t>12:15</t>
  </si>
  <si>
    <t>12:45</t>
  </si>
  <si>
    <t>13:45</t>
  </si>
  <si>
    <t>14:00</t>
  </si>
  <si>
    <t>14:15</t>
  </si>
  <si>
    <t>15:00</t>
  </si>
  <si>
    <t>O 3.místo</t>
  </si>
  <si>
    <t>13:00</t>
  </si>
  <si>
    <t>14:45</t>
  </si>
  <si>
    <t>10:15</t>
  </si>
  <si>
    <t>13:15</t>
  </si>
  <si>
    <t>11:45</t>
  </si>
  <si>
    <t>skore</t>
  </si>
  <si>
    <t>body</t>
  </si>
  <si>
    <t>umístění</t>
  </si>
  <si>
    <t>A</t>
  </si>
  <si>
    <t>B</t>
  </si>
  <si>
    <t>C</t>
  </si>
  <si>
    <t>D</t>
  </si>
  <si>
    <t>Týmy</t>
  </si>
  <si>
    <t>Konečné pořadí</t>
  </si>
  <si>
    <t>B1</t>
  </si>
  <si>
    <t>rozdíl skore</t>
  </si>
  <si>
    <t>pořadí</t>
  </si>
  <si>
    <t>b2</t>
  </si>
  <si>
    <t>r2</t>
  </si>
  <si>
    <t>v2</t>
  </si>
  <si>
    <t>i2</t>
  </si>
  <si>
    <t>r1</t>
  </si>
  <si>
    <t>v1</t>
  </si>
  <si>
    <t>p1</t>
  </si>
  <si>
    <t>los</t>
  </si>
  <si>
    <t>pom. b. + los</t>
  </si>
  <si>
    <t>prubezne body</t>
  </si>
  <si>
    <t>prubezne poradi</t>
  </si>
  <si>
    <t>1. místo</t>
  </si>
  <si>
    <t>2. místo</t>
  </si>
  <si>
    <t>3. místo</t>
  </si>
  <si>
    <t>4. místo</t>
  </si>
  <si>
    <t>SKUPINA A</t>
  </si>
  <si>
    <t>body1</t>
  </si>
  <si>
    <t>body2</t>
  </si>
  <si>
    <t>Pořadí ve skupině A</t>
  </si>
  <si>
    <t>1.</t>
  </si>
  <si>
    <t>2.</t>
  </si>
  <si>
    <t>3.</t>
  </si>
  <si>
    <t>4.</t>
  </si>
  <si>
    <t>SKUPINA B</t>
  </si>
  <si>
    <t>Pořadí ve skupině B</t>
  </si>
  <si>
    <t>SKUPINA C</t>
  </si>
  <si>
    <t>Pořadí ve skupině C</t>
  </si>
  <si>
    <t>SKUPINA D</t>
  </si>
  <si>
    <t>Pořadí ve skupině D</t>
  </si>
  <si>
    <t>16:00</t>
  </si>
  <si>
    <t>16:20</t>
  </si>
  <si>
    <t>1.místo</t>
  </si>
  <si>
    <t>2.místo</t>
  </si>
  <si>
    <t>3.místo</t>
  </si>
  <si>
    <t>4.místo</t>
  </si>
  <si>
    <t>5 - 8.místo</t>
  </si>
  <si>
    <t>9 - 16.místo</t>
  </si>
  <si>
    <t>Skupiny</t>
  </si>
  <si>
    <t>1A</t>
  </si>
  <si>
    <t>2C</t>
  </si>
  <si>
    <t>2A</t>
  </si>
  <si>
    <t>1C</t>
  </si>
  <si>
    <t>1B</t>
  </si>
  <si>
    <t>2D</t>
  </si>
  <si>
    <t>2B</t>
  </si>
  <si>
    <t>1D</t>
  </si>
  <si>
    <t>15:20</t>
  </si>
  <si>
    <t>15:40</t>
  </si>
  <si>
    <t>16:40</t>
  </si>
  <si>
    <t>17:05</t>
  </si>
  <si>
    <t>17:20</t>
  </si>
  <si>
    <t>Jméno</t>
  </si>
  <si>
    <t>1.zápas</t>
  </si>
  <si>
    <t>2.zápas</t>
  </si>
  <si>
    <t>3.zápas</t>
  </si>
  <si>
    <t>čtvrtfinále</t>
  </si>
  <si>
    <t>semifinále</t>
  </si>
  <si>
    <t>finále</t>
  </si>
  <si>
    <t>celkem</t>
  </si>
  <si>
    <t>Vítěz</t>
  </si>
  <si>
    <t>Tým</t>
  </si>
  <si>
    <t>FCH Most</t>
  </si>
  <si>
    <t>Gamblers Most</t>
  </si>
  <si>
    <t>Partizan Most</t>
  </si>
  <si>
    <t>Hyeny</t>
  </si>
  <si>
    <t>Inseminátors FC</t>
  </si>
  <si>
    <t>Levý</t>
  </si>
  <si>
    <t>Koudelka</t>
  </si>
  <si>
    <t>Richter</t>
  </si>
  <si>
    <t>Kopta Jan</t>
  </si>
  <si>
    <t>Bohata</t>
  </si>
  <si>
    <t>Polák</t>
  </si>
  <si>
    <t>Kodeš</t>
  </si>
  <si>
    <t>Šebek</t>
  </si>
  <si>
    <t>FCH</t>
  </si>
  <si>
    <t>Kasal</t>
  </si>
  <si>
    <t>Broum</t>
  </si>
  <si>
    <t>Hora</t>
  </si>
  <si>
    <t>Jamrich</t>
  </si>
  <si>
    <t>Gamblers Juniors</t>
  </si>
  <si>
    <t>FCH Most SG</t>
  </si>
  <si>
    <t>Sporting club</t>
  </si>
  <si>
    <t>GMS Most</t>
  </si>
  <si>
    <t>FC Internazionale Teplice</t>
  </si>
  <si>
    <t>FK Juniorsko</t>
  </si>
  <si>
    <t>Vamiro</t>
  </si>
  <si>
    <t>Paradise</t>
  </si>
  <si>
    <t>Inseminátors FC II.</t>
  </si>
  <si>
    <t>Alergismus</t>
  </si>
  <si>
    <t>Krstný syni</t>
  </si>
  <si>
    <t>Macháček</t>
  </si>
  <si>
    <t>Benát</t>
  </si>
  <si>
    <t>Hanzlík</t>
  </si>
  <si>
    <t>Náhlovský</t>
  </si>
  <si>
    <t>Kučera</t>
  </si>
  <si>
    <t>Kodad</t>
  </si>
  <si>
    <t>Kopřiva</t>
  </si>
  <si>
    <t>Egrt</t>
  </si>
  <si>
    <t>Hofmann</t>
  </si>
  <si>
    <t>GMS</t>
  </si>
  <si>
    <t>Exner</t>
  </si>
  <si>
    <t>Schuchardt</t>
  </si>
  <si>
    <t>Zícha</t>
  </si>
  <si>
    <t>Černý</t>
  </si>
  <si>
    <t>Internazionale</t>
  </si>
  <si>
    <t>Nobst</t>
  </si>
  <si>
    <t>Kopta Zd.</t>
  </si>
  <si>
    <t>Hlaváček</t>
  </si>
  <si>
    <t>Matuščin</t>
  </si>
  <si>
    <t>Partizan</t>
  </si>
  <si>
    <t>Bílek</t>
  </si>
  <si>
    <t>Juniorsko</t>
  </si>
  <si>
    <t>Urma</t>
  </si>
  <si>
    <t>Marko</t>
  </si>
  <si>
    <t>Lenkvik</t>
  </si>
  <si>
    <t>FCH SG</t>
  </si>
  <si>
    <t>Dolejší</t>
  </si>
  <si>
    <t>GJ</t>
  </si>
  <si>
    <t>Vrba</t>
  </si>
  <si>
    <t>|Partizan</t>
  </si>
  <si>
    <t>Lavička</t>
  </si>
  <si>
    <t>Hocman Jarda</t>
  </si>
  <si>
    <t>Iseminátors</t>
  </si>
  <si>
    <t>Kunzl Tomáš</t>
  </si>
  <si>
    <t>Internacionále</t>
  </si>
  <si>
    <t>Weickert Andrej</t>
  </si>
  <si>
    <t>Bíro Ondej</t>
  </si>
  <si>
    <t>Gemblers Most</t>
  </si>
  <si>
    <t>Jánošík Patrik</t>
  </si>
  <si>
    <t>Kilián Jakub</t>
  </si>
  <si>
    <t>Partizán Most</t>
  </si>
  <si>
    <t>Procházka Marcel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</si>
</sst>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ck"/>
      <bottom style="thin"/>
    </border>
    <border>
      <left style="thin"/>
      <right style="medium"/>
      <top style="thin"/>
      <bottom style="thick"/>
    </border>
    <border>
      <left style="thin"/>
      <right style="medium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textRotation="180"/>
    </xf>
    <xf numFmtId="0" fontId="6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36" borderId="16" xfId="0" applyFont="1" applyFill="1" applyBorder="1" applyAlignment="1">
      <alignment horizontal="center" vertical="center"/>
    </xf>
    <xf numFmtId="0" fontId="8" fillId="34" borderId="16" xfId="0" applyFont="1" applyFill="1" applyBorder="1" applyAlignment="1" applyProtection="1">
      <alignment horizontal="center" vertical="center"/>
      <protection hidden="1"/>
    </xf>
    <xf numFmtId="0" fontId="0" fillId="35" borderId="0" xfId="0" applyFill="1" applyBorder="1" applyAlignment="1" applyProtection="1">
      <alignment horizontal="left"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 horizontal="center"/>
      <protection hidden="1"/>
    </xf>
    <xf numFmtId="0" fontId="0" fillId="35" borderId="0" xfId="0" applyFill="1" applyAlignment="1" applyProtection="1">
      <alignment/>
      <protection hidden="1"/>
    </xf>
    <xf numFmtId="0" fontId="0" fillId="35" borderId="0" xfId="0" applyFont="1" applyFill="1" applyAlignment="1" applyProtection="1">
      <alignment/>
      <protection hidden="1"/>
    </xf>
    <xf numFmtId="0" fontId="9" fillId="33" borderId="2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8" fillId="35" borderId="0" xfId="0" applyFont="1" applyFill="1" applyAlignment="1" applyProtection="1">
      <alignment/>
      <protection hidden="1"/>
    </xf>
    <xf numFmtId="20" fontId="8" fillId="35" borderId="0" xfId="0" applyNumberFormat="1" applyFont="1" applyFill="1" applyBorder="1" applyAlignment="1" applyProtection="1">
      <alignment horizontal="right"/>
      <protection hidden="1"/>
    </xf>
    <xf numFmtId="0" fontId="0" fillId="35" borderId="0" xfId="0" applyFill="1" applyAlignment="1" applyProtection="1">
      <alignment/>
      <protection hidden="1" locked="0"/>
    </xf>
    <xf numFmtId="0" fontId="8" fillId="33" borderId="15" xfId="0" applyFont="1" applyFill="1" applyBorder="1" applyAlignment="1" applyProtection="1">
      <alignment horizontal="center" vertical="center"/>
      <protection hidden="1"/>
    </xf>
    <xf numFmtId="0" fontId="8" fillId="33" borderId="14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0" fillId="35" borderId="0" xfId="0" applyFill="1" applyBorder="1" applyAlignment="1">
      <alignment/>
    </xf>
    <xf numFmtId="0" fontId="0" fillId="35" borderId="27" xfId="0" applyFill="1" applyBorder="1" applyAlignment="1" applyProtection="1">
      <alignment horizontal="center"/>
      <protection hidden="1"/>
    </xf>
    <xf numFmtId="0" fontId="0" fillId="35" borderId="27" xfId="0" applyFill="1" applyBorder="1" applyAlignment="1" applyProtection="1">
      <alignment horizontal="left"/>
      <protection hidden="1"/>
    </xf>
    <xf numFmtId="0" fontId="0" fillId="35" borderId="27" xfId="0" applyFill="1" applyBorder="1" applyAlignment="1" applyProtection="1">
      <alignment/>
      <protection hidden="1"/>
    </xf>
    <xf numFmtId="0" fontId="0" fillId="35" borderId="28" xfId="0" applyFill="1" applyBorder="1" applyAlignment="1" applyProtection="1">
      <alignment/>
      <protection hidden="1"/>
    </xf>
    <xf numFmtId="0" fontId="0" fillId="35" borderId="29" xfId="0" applyFill="1" applyBorder="1" applyAlignment="1" applyProtection="1">
      <alignment/>
      <protection hidden="1"/>
    </xf>
    <xf numFmtId="0" fontId="0" fillId="35" borderId="30" xfId="0" applyFill="1" applyBorder="1" applyAlignment="1" applyProtection="1">
      <alignment/>
      <protection hidden="1"/>
    </xf>
    <xf numFmtId="0" fontId="0" fillId="35" borderId="31" xfId="0" applyFill="1" applyBorder="1" applyAlignment="1" applyProtection="1">
      <alignment/>
      <protection hidden="1"/>
    </xf>
    <xf numFmtId="0" fontId="0" fillId="35" borderId="32" xfId="0" applyFill="1" applyBorder="1" applyAlignment="1" applyProtection="1">
      <alignment/>
      <protection hidden="1"/>
    </xf>
    <xf numFmtId="0" fontId="0" fillId="35" borderId="32" xfId="0" applyFill="1" applyBorder="1" applyAlignment="1" applyProtection="1">
      <alignment horizontal="center"/>
      <protection hidden="1"/>
    </xf>
    <xf numFmtId="0" fontId="0" fillId="35" borderId="32" xfId="0" applyFill="1" applyBorder="1" applyAlignment="1" applyProtection="1">
      <alignment horizontal="left"/>
      <protection hidden="1"/>
    </xf>
    <xf numFmtId="0" fontId="0" fillId="35" borderId="33" xfId="0" applyFill="1" applyBorder="1" applyAlignment="1" applyProtection="1">
      <alignment/>
      <protection hidden="1"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0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8" fillId="35" borderId="34" xfId="0" applyFont="1" applyFill="1" applyBorder="1" applyAlignment="1">
      <alignment horizontal="center" vertical="center"/>
    </xf>
    <xf numFmtId="0" fontId="8" fillId="35" borderId="32" xfId="0" applyFont="1" applyFill="1" applyBorder="1" applyAlignment="1">
      <alignment horizontal="center" vertical="center"/>
    </xf>
    <xf numFmtId="0" fontId="6" fillId="35" borderId="35" xfId="0" applyFont="1" applyFill="1" applyBorder="1" applyAlignment="1">
      <alignment horizontal="center" vertical="center"/>
    </xf>
    <xf numFmtId="0" fontId="8" fillId="35" borderId="36" xfId="0" applyFont="1" applyFill="1" applyBorder="1" applyAlignment="1">
      <alignment horizontal="center" vertical="center"/>
    </xf>
    <xf numFmtId="0" fontId="6" fillId="35" borderId="37" xfId="0" applyFont="1" applyFill="1" applyBorder="1" applyAlignment="1">
      <alignment horizontal="center" vertical="center"/>
    </xf>
    <xf numFmtId="0" fontId="6" fillId="35" borderId="38" xfId="0" applyFont="1" applyFill="1" applyBorder="1" applyAlignment="1">
      <alignment horizontal="center" vertical="center"/>
    </xf>
    <xf numFmtId="0" fontId="6" fillId="35" borderId="39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35" borderId="0" xfId="0" applyFill="1" applyAlignment="1" applyProtection="1">
      <alignment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36" borderId="44" xfId="0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/>
    </xf>
    <xf numFmtId="0" fontId="8" fillId="35" borderId="47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3" fillId="37" borderId="42" xfId="0" applyFont="1" applyFill="1" applyBorder="1" applyAlignment="1" applyProtection="1">
      <alignment horizontal="center" vertical="center"/>
      <protection hidden="1"/>
    </xf>
    <xf numFmtId="0" fontId="8" fillId="35" borderId="40" xfId="0" applyFont="1" applyFill="1" applyBorder="1" applyAlignment="1">
      <alignment horizontal="center" vertical="center"/>
    </xf>
    <xf numFmtId="0" fontId="8" fillId="34" borderId="48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34" borderId="23" xfId="0" applyFont="1" applyFill="1" applyBorder="1" applyAlignment="1" applyProtection="1">
      <alignment horizontal="center" vertical="center"/>
      <protection hidden="1"/>
    </xf>
    <xf numFmtId="0" fontId="3" fillId="36" borderId="23" xfId="0" applyFont="1" applyFill="1" applyBorder="1" applyAlignment="1">
      <alignment horizontal="center" vertical="center"/>
    </xf>
    <xf numFmtId="0" fontId="8" fillId="33" borderId="48" xfId="0" applyFont="1" applyFill="1" applyBorder="1" applyAlignment="1" applyProtection="1">
      <alignment horizontal="center" vertical="center"/>
      <protection hidden="1"/>
    </xf>
    <xf numFmtId="0" fontId="8" fillId="33" borderId="23" xfId="0" applyFont="1" applyFill="1" applyBorder="1" applyAlignment="1">
      <alignment horizontal="center" vertical="center"/>
    </xf>
    <xf numFmtId="0" fontId="8" fillId="33" borderId="49" xfId="0" applyFont="1" applyFill="1" applyBorder="1" applyAlignment="1" applyProtection="1">
      <alignment horizontal="center" vertical="center"/>
      <protection hidden="1"/>
    </xf>
    <xf numFmtId="0" fontId="9" fillId="33" borderId="50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3" fillId="37" borderId="51" xfId="0" applyFont="1" applyFill="1" applyBorder="1" applyAlignment="1" applyProtection="1">
      <alignment horizontal="center" vertical="center"/>
      <protection hidden="1"/>
    </xf>
    <xf numFmtId="0" fontId="6" fillId="35" borderId="52" xfId="0" applyFont="1" applyFill="1" applyBorder="1" applyAlignment="1">
      <alignment horizontal="center" vertical="center"/>
    </xf>
    <xf numFmtId="0" fontId="6" fillId="35" borderId="53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0" fontId="6" fillId="35" borderId="56" xfId="0" applyFont="1" applyFill="1" applyBorder="1" applyAlignment="1">
      <alignment horizontal="center" vertical="center"/>
    </xf>
    <xf numFmtId="0" fontId="6" fillId="35" borderId="57" xfId="0" applyFont="1" applyFill="1" applyBorder="1" applyAlignment="1">
      <alignment horizontal="center" vertical="center"/>
    </xf>
    <xf numFmtId="0" fontId="6" fillId="35" borderId="58" xfId="0" applyFont="1" applyFill="1" applyBorder="1" applyAlignment="1">
      <alignment horizontal="center" vertical="center"/>
    </xf>
    <xf numFmtId="0" fontId="6" fillId="35" borderId="59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0" fontId="6" fillId="35" borderId="33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/>
    </xf>
    <xf numFmtId="0" fontId="6" fillId="35" borderId="57" xfId="0" applyFont="1" applyFill="1" applyBorder="1" applyAlignment="1">
      <alignment horizontal="center" vertical="center"/>
    </xf>
    <xf numFmtId="0" fontId="6" fillId="35" borderId="59" xfId="0" applyFont="1" applyFill="1" applyBorder="1" applyAlignment="1">
      <alignment horizontal="center" vertical="center"/>
    </xf>
    <xf numFmtId="0" fontId="6" fillId="35" borderId="64" xfId="0" applyFont="1" applyFill="1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6" fillId="35" borderId="65" xfId="0" applyFont="1" applyFill="1" applyBorder="1" applyAlignment="1">
      <alignment horizontal="center" vertical="center"/>
    </xf>
    <xf numFmtId="0" fontId="6" fillId="35" borderId="33" xfId="0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3" fillId="38" borderId="69" xfId="0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/>
    </xf>
    <xf numFmtId="0" fontId="3" fillId="38" borderId="41" xfId="0" applyFont="1" applyFill="1" applyBorder="1" applyAlignment="1">
      <alignment horizontal="center" vertical="center"/>
    </xf>
    <xf numFmtId="0" fontId="3" fillId="38" borderId="4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/>
    </xf>
    <xf numFmtId="0" fontId="3" fillId="38" borderId="51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textRotation="180"/>
      <protection/>
    </xf>
    <xf numFmtId="0" fontId="6" fillId="0" borderId="11" xfId="0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9" fontId="3" fillId="0" borderId="14" xfId="0" applyNumberFormat="1" applyFont="1" applyBorder="1" applyAlignment="1" applyProtection="1">
      <alignment horizontal="center" vertical="center"/>
      <protection/>
    </xf>
    <xf numFmtId="0" fontId="6" fillId="0" borderId="70" xfId="0" applyFont="1" applyBorder="1" applyAlignment="1" applyProtection="1">
      <alignment horizontal="center" vertical="center"/>
      <protection/>
    </xf>
    <xf numFmtId="49" fontId="3" fillId="0" borderId="71" xfId="0" applyNumberFormat="1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0" fontId="3" fillId="0" borderId="72" xfId="0" applyFont="1" applyBorder="1" applyAlignment="1" applyProtection="1">
      <alignment horizontal="center" vertical="center" textRotation="180"/>
      <protection/>
    </xf>
    <xf numFmtId="0" fontId="3" fillId="0" borderId="60" xfId="0" applyFont="1" applyBorder="1" applyAlignment="1" applyProtection="1">
      <alignment horizontal="center" vertical="center" textRotation="180"/>
      <protection/>
    </xf>
    <xf numFmtId="49" fontId="3" fillId="0" borderId="63" xfId="0" applyNumberFormat="1" applyFont="1" applyBorder="1" applyAlignment="1" applyProtection="1">
      <alignment horizontal="center" vertical="center"/>
      <protection/>
    </xf>
    <xf numFmtId="0" fontId="6" fillId="0" borderId="62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49" fontId="3" fillId="0" borderId="67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49" fontId="3" fillId="0" borderId="55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8" fillId="35" borderId="13" xfId="0" applyFont="1" applyFill="1" applyBorder="1" applyAlignment="1">
      <alignment horizontal="center" vertical="center" shrinkToFit="1"/>
    </xf>
    <xf numFmtId="0" fontId="6" fillId="0" borderId="66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10" fillId="0" borderId="18" xfId="0" applyFont="1" applyFill="1" applyBorder="1" applyAlignment="1" applyProtection="1">
      <alignment horizontal="center" vertical="center" shrinkToFit="1"/>
      <protection hidden="1"/>
    </xf>
    <xf numFmtId="0" fontId="10" fillId="0" borderId="76" xfId="0" applyFont="1" applyFill="1" applyBorder="1" applyAlignment="1" applyProtection="1">
      <alignment horizontal="center" vertical="center" shrinkToFit="1"/>
      <protection hidden="1"/>
    </xf>
    <xf numFmtId="0" fontId="10" fillId="0" borderId="23" xfId="0" applyFont="1" applyFill="1" applyBorder="1" applyAlignment="1" applyProtection="1">
      <alignment horizontal="center" vertical="center" shrinkToFit="1"/>
      <protection hidden="1"/>
    </xf>
    <xf numFmtId="0" fontId="10" fillId="0" borderId="77" xfId="0" applyFont="1" applyFill="1" applyBorder="1" applyAlignment="1" applyProtection="1">
      <alignment horizontal="center" vertical="center" shrinkToFit="1"/>
      <protection hidden="1"/>
    </xf>
    <xf numFmtId="0" fontId="10" fillId="0" borderId="36" xfId="0" applyFont="1" applyFill="1" applyBorder="1" applyAlignment="1" applyProtection="1">
      <alignment horizontal="center" vertical="center" shrinkToFit="1"/>
      <protection hidden="1"/>
    </xf>
    <xf numFmtId="0" fontId="10" fillId="0" borderId="78" xfId="0" applyFont="1" applyFill="1" applyBorder="1" applyAlignment="1" applyProtection="1">
      <alignment horizontal="center" vertical="center" shrinkToFit="1"/>
      <protection hidden="1"/>
    </xf>
    <xf numFmtId="0" fontId="6" fillId="0" borderId="66" xfId="0" applyFont="1" applyFill="1" applyBorder="1" applyAlignment="1" applyProtection="1">
      <alignment horizontal="center" vertical="center" shrinkToFit="1"/>
      <protection/>
    </xf>
    <xf numFmtId="0" fontId="6" fillId="0" borderId="73" xfId="0" applyFont="1" applyFill="1" applyBorder="1" applyAlignment="1" applyProtection="1">
      <alignment horizontal="center" vertical="center" shrinkToFit="1"/>
      <protection/>
    </xf>
    <xf numFmtId="0" fontId="6" fillId="0" borderId="26" xfId="0" applyFont="1" applyFill="1" applyBorder="1" applyAlignment="1" applyProtection="1">
      <alignment horizontal="center" vertical="center" shrinkToFit="1"/>
      <protection/>
    </xf>
    <xf numFmtId="0" fontId="6" fillId="0" borderId="15" xfId="0" applyFont="1" applyFill="1" applyBorder="1" applyAlignment="1" applyProtection="1">
      <alignment horizontal="center" vertical="center" shrinkToFit="1"/>
      <protection/>
    </xf>
    <xf numFmtId="0" fontId="6" fillId="0" borderId="46" xfId="0" applyFont="1" applyFill="1" applyBorder="1" applyAlignment="1" applyProtection="1">
      <alignment horizontal="center" vertical="center" shrinkToFit="1"/>
      <protection/>
    </xf>
    <xf numFmtId="0" fontId="6" fillId="0" borderId="45" xfId="0" applyFont="1" applyFill="1" applyBorder="1" applyAlignment="1" applyProtection="1">
      <alignment horizontal="center" vertical="center" shrinkToFit="1"/>
      <protection/>
    </xf>
    <xf numFmtId="0" fontId="6" fillId="0" borderId="50" xfId="0" applyFont="1" applyFill="1" applyBorder="1" applyAlignment="1" applyProtection="1">
      <alignment horizontal="center" vertical="center" shrinkToFit="1"/>
      <protection/>
    </xf>
    <xf numFmtId="0" fontId="6" fillId="0" borderId="48" xfId="0" applyFont="1" applyFill="1" applyBorder="1" applyAlignment="1" applyProtection="1">
      <alignment horizontal="center" vertical="center" shrinkToFit="1"/>
      <protection/>
    </xf>
    <xf numFmtId="0" fontId="10" fillId="0" borderId="79" xfId="0" applyFont="1" applyFill="1" applyBorder="1" applyAlignment="1" applyProtection="1">
      <alignment horizontal="center" vertical="center" shrinkToFit="1"/>
      <protection hidden="1"/>
    </xf>
    <xf numFmtId="0" fontId="10" fillId="0" borderId="80" xfId="0" applyFont="1" applyFill="1" applyBorder="1" applyAlignment="1" applyProtection="1">
      <alignment horizontal="center" vertical="center" shrinkToFit="1"/>
      <protection hidden="1"/>
    </xf>
    <xf numFmtId="0" fontId="10" fillId="0" borderId="32" xfId="0" applyFont="1" applyFill="1" applyBorder="1" applyAlignment="1" applyProtection="1">
      <alignment horizontal="center" vertical="center" shrinkToFit="1"/>
      <protection hidden="1"/>
    </xf>
    <xf numFmtId="0" fontId="10" fillId="0" borderId="81" xfId="0" applyFont="1" applyFill="1" applyBorder="1" applyAlignment="1" applyProtection="1">
      <alignment horizontal="center" vertical="center" shrinkToFit="1"/>
      <protection hidden="1"/>
    </xf>
    <xf numFmtId="0" fontId="11" fillId="0" borderId="82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5" fillId="39" borderId="67" xfId="0" applyFont="1" applyFill="1" applyBorder="1" applyAlignment="1">
      <alignment horizontal="center" vertical="center"/>
    </xf>
    <xf numFmtId="0" fontId="5" fillId="39" borderId="68" xfId="0" applyFont="1" applyFill="1" applyBorder="1" applyAlignment="1">
      <alignment horizontal="center" vertical="center"/>
    </xf>
    <xf numFmtId="0" fontId="5" fillId="39" borderId="83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40" borderId="67" xfId="0" applyFont="1" applyFill="1" applyBorder="1" applyAlignment="1">
      <alignment horizontal="center" vertical="center"/>
    </xf>
    <xf numFmtId="0" fontId="5" fillId="40" borderId="68" xfId="0" applyFont="1" applyFill="1" applyBorder="1" applyAlignment="1">
      <alignment horizontal="center" vertical="center"/>
    </xf>
    <xf numFmtId="0" fontId="5" fillId="40" borderId="83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41" borderId="67" xfId="0" applyFont="1" applyFill="1" applyBorder="1" applyAlignment="1">
      <alignment horizontal="center" vertical="center"/>
    </xf>
    <xf numFmtId="0" fontId="5" fillId="41" borderId="68" xfId="0" applyFont="1" applyFill="1" applyBorder="1" applyAlignment="1">
      <alignment horizontal="center" vertical="center"/>
    </xf>
    <xf numFmtId="0" fontId="5" fillId="41" borderId="83" xfId="0" applyFont="1" applyFill="1" applyBorder="1" applyAlignment="1">
      <alignment horizontal="center" vertical="center"/>
    </xf>
    <xf numFmtId="0" fontId="5" fillId="34" borderId="67" xfId="0" applyFont="1" applyFill="1" applyBorder="1" applyAlignment="1">
      <alignment horizontal="center" vertical="center"/>
    </xf>
    <xf numFmtId="0" fontId="5" fillId="34" borderId="68" xfId="0" applyFont="1" applyFill="1" applyBorder="1" applyAlignment="1">
      <alignment horizontal="center" vertical="center"/>
    </xf>
    <xf numFmtId="0" fontId="5" fillId="34" borderId="83" xfId="0" applyFont="1" applyFill="1" applyBorder="1" applyAlignment="1">
      <alignment horizontal="center" vertical="center"/>
    </xf>
    <xf numFmtId="0" fontId="5" fillId="42" borderId="67" xfId="0" applyFont="1" applyFill="1" applyBorder="1" applyAlignment="1">
      <alignment horizontal="center" vertical="center"/>
    </xf>
    <xf numFmtId="0" fontId="5" fillId="42" borderId="68" xfId="0" applyFont="1" applyFill="1" applyBorder="1" applyAlignment="1">
      <alignment horizontal="center" vertical="center"/>
    </xf>
    <xf numFmtId="0" fontId="5" fillId="42" borderId="83" xfId="0" applyFont="1" applyFill="1" applyBorder="1" applyAlignment="1">
      <alignment horizontal="center" vertical="center"/>
    </xf>
    <xf numFmtId="0" fontId="5" fillId="42" borderId="67" xfId="0" applyFont="1" applyFill="1" applyBorder="1" applyAlignment="1" applyProtection="1">
      <alignment horizontal="center" vertical="center"/>
      <protection/>
    </xf>
    <xf numFmtId="0" fontId="5" fillId="42" borderId="68" xfId="0" applyFont="1" applyFill="1" applyBorder="1" applyAlignment="1" applyProtection="1">
      <alignment horizontal="center" vertical="center"/>
      <protection/>
    </xf>
    <xf numFmtId="0" fontId="5" fillId="42" borderId="83" xfId="0" applyFont="1" applyFill="1" applyBorder="1" applyAlignment="1" applyProtection="1">
      <alignment horizontal="center" vertical="center"/>
      <protection/>
    </xf>
    <xf numFmtId="0" fontId="5" fillId="41" borderId="67" xfId="0" applyFont="1" applyFill="1" applyBorder="1" applyAlignment="1" applyProtection="1">
      <alignment horizontal="center" vertical="center"/>
      <protection/>
    </xf>
    <xf numFmtId="0" fontId="5" fillId="41" borderId="68" xfId="0" applyFont="1" applyFill="1" applyBorder="1" applyAlignment="1" applyProtection="1">
      <alignment horizontal="center" vertical="center"/>
      <protection/>
    </xf>
    <xf numFmtId="0" fontId="5" fillId="41" borderId="83" xfId="0" applyFont="1" applyFill="1" applyBorder="1" applyAlignment="1" applyProtection="1">
      <alignment horizontal="center" vertical="center"/>
      <protection/>
    </xf>
    <xf numFmtId="0" fontId="5" fillId="39" borderId="67" xfId="0" applyFont="1" applyFill="1" applyBorder="1" applyAlignment="1" applyProtection="1">
      <alignment horizontal="center" vertical="center"/>
      <protection/>
    </xf>
    <xf numFmtId="0" fontId="5" fillId="39" borderId="68" xfId="0" applyFont="1" applyFill="1" applyBorder="1" applyAlignment="1" applyProtection="1">
      <alignment horizontal="center" vertical="center"/>
      <protection/>
    </xf>
    <xf numFmtId="0" fontId="5" fillId="39" borderId="83" xfId="0" applyFont="1" applyFill="1" applyBorder="1" applyAlignment="1" applyProtection="1">
      <alignment horizontal="center" vertical="center"/>
      <protection/>
    </xf>
    <xf numFmtId="0" fontId="5" fillId="39" borderId="84" xfId="0" applyFont="1" applyFill="1" applyBorder="1" applyAlignment="1" applyProtection="1">
      <alignment horizontal="center" vertical="center"/>
      <protection/>
    </xf>
    <xf numFmtId="0" fontId="5" fillId="39" borderId="85" xfId="0" applyFont="1" applyFill="1" applyBorder="1" applyAlignment="1" applyProtection="1">
      <alignment horizontal="center" vertical="center"/>
      <protection/>
    </xf>
    <xf numFmtId="0" fontId="5" fillId="39" borderId="86" xfId="0" applyFont="1" applyFill="1" applyBorder="1" applyAlignment="1" applyProtection="1">
      <alignment horizontal="center" vertical="center"/>
      <protection/>
    </xf>
    <xf numFmtId="0" fontId="5" fillId="39" borderId="0" xfId="0" applyFont="1" applyFill="1" applyBorder="1" applyAlignment="1" applyProtection="1">
      <alignment horizontal="center" vertical="center"/>
      <protection/>
    </xf>
    <xf numFmtId="0" fontId="5" fillId="40" borderId="67" xfId="0" applyFont="1" applyFill="1" applyBorder="1" applyAlignment="1" applyProtection="1">
      <alignment horizontal="center" vertical="center"/>
      <protection/>
    </xf>
    <xf numFmtId="0" fontId="5" fillId="40" borderId="68" xfId="0" applyFont="1" applyFill="1" applyBorder="1" applyAlignment="1" applyProtection="1">
      <alignment horizontal="center" vertical="center"/>
      <protection/>
    </xf>
    <xf numFmtId="0" fontId="5" fillId="40" borderId="83" xfId="0" applyFont="1" applyFill="1" applyBorder="1" applyAlignment="1" applyProtection="1">
      <alignment horizontal="center" vertical="center"/>
      <protection/>
    </xf>
    <xf numFmtId="0" fontId="5" fillId="34" borderId="67" xfId="0" applyFont="1" applyFill="1" applyBorder="1" applyAlignment="1" applyProtection="1">
      <alignment horizontal="center" vertical="center"/>
      <protection/>
    </xf>
    <xf numFmtId="0" fontId="5" fillId="34" borderId="68" xfId="0" applyFont="1" applyFill="1" applyBorder="1" applyAlignment="1" applyProtection="1">
      <alignment horizontal="center" vertical="center"/>
      <protection/>
    </xf>
    <xf numFmtId="0" fontId="5" fillId="34" borderId="83" xfId="0" applyFont="1" applyFill="1" applyBorder="1" applyAlignment="1" applyProtection="1">
      <alignment horizontal="center" vertical="center"/>
      <protection/>
    </xf>
    <xf numFmtId="0" fontId="3" fillId="0" borderId="82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35" borderId="0" xfId="0" applyFont="1" applyFill="1" applyBorder="1" applyAlignment="1" applyProtection="1">
      <alignment horizontal="left"/>
      <protection hidden="1"/>
    </xf>
    <xf numFmtId="0" fontId="0" fillId="35" borderId="0" xfId="0" applyFill="1" applyAlignment="1">
      <alignment/>
    </xf>
    <xf numFmtId="0" fontId="3" fillId="36" borderId="15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71" xfId="0" applyFont="1" applyFill="1" applyBorder="1" applyAlignment="1">
      <alignment horizontal="center" vertical="center"/>
    </xf>
    <xf numFmtId="0" fontId="3" fillId="36" borderId="48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3" fillId="36" borderId="49" xfId="0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 shrinkToFit="1"/>
    </xf>
    <xf numFmtId="0" fontId="8" fillId="35" borderId="18" xfId="0" applyFont="1" applyFill="1" applyBorder="1" applyAlignment="1">
      <alignment horizontal="center" vertical="center" shrinkToFit="1"/>
    </xf>
    <xf numFmtId="0" fontId="8" fillId="35" borderId="71" xfId="0" applyFont="1" applyFill="1" applyBorder="1" applyAlignment="1">
      <alignment horizontal="center" vertical="center" shrinkToFit="1"/>
    </xf>
    <xf numFmtId="0" fontId="0" fillId="35" borderId="44" xfId="0" applyFill="1" applyBorder="1" applyAlignment="1" applyProtection="1">
      <alignment/>
      <protection hidden="1"/>
    </xf>
    <xf numFmtId="0" fontId="0" fillId="35" borderId="27" xfId="0" applyFill="1" applyBorder="1" applyAlignment="1" applyProtection="1">
      <alignment/>
      <protection hidden="1"/>
    </xf>
    <xf numFmtId="0" fontId="11" fillId="0" borderId="10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/>
    <dxf>
      <fill>
        <patternFill>
          <bgColor indexed="43"/>
        </patternFill>
      </fill>
    </dxf>
    <dxf>
      <font>
        <color indexed="9"/>
      </font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pie%20-%20ms_hokej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ýmy"/>
      <sheetName val="program"/>
      <sheetName val="základní skupiny"/>
      <sheetName val="osmifinále"/>
      <sheetName val="play-off"/>
      <sheetName val="o udržen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9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15.421875" style="29" customWidth="1"/>
    <col min="2" max="2" width="63.28125" style="0" customWidth="1"/>
  </cols>
  <sheetData>
    <row r="2" ht="16.5" thickBot="1"/>
    <row r="3" spans="1:2" ht="30" customHeight="1" thickBot="1" thickTop="1">
      <c r="A3" s="206" t="s">
        <v>43</v>
      </c>
      <c r="B3" s="207"/>
    </row>
    <row r="4" spans="1:2" ht="30" customHeight="1" thickTop="1">
      <c r="A4" s="76">
        <v>1</v>
      </c>
      <c r="B4" s="79" t="s">
        <v>127</v>
      </c>
    </row>
    <row r="5" spans="1:2" ht="30" customHeight="1">
      <c r="A5" s="77">
        <v>2</v>
      </c>
      <c r="B5" s="80" t="s">
        <v>132</v>
      </c>
    </row>
    <row r="6" spans="1:2" ht="30" customHeight="1">
      <c r="A6" s="77">
        <v>3</v>
      </c>
      <c r="B6" s="80" t="s">
        <v>112</v>
      </c>
    </row>
    <row r="7" spans="1:2" ht="30" customHeight="1">
      <c r="A7" s="77">
        <v>4</v>
      </c>
      <c r="B7" s="80" t="s">
        <v>136</v>
      </c>
    </row>
    <row r="8" spans="1:2" ht="30" customHeight="1">
      <c r="A8" s="77">
        <v>5</v>
      </c>
      <c r="B8" s="80" t="s">
        <v>109</v>
      </c>
    </row>
    <row r="9" spans="1:2" ht="30" customHeight="1">
      <c r="A9" s="77">
        <v>6</v>
      </c>
      <c r="B9" s="80" t="s">
        <v>135</v>
      </c>
    </row>
    <row r="10" spans="1:2" ht="30" customHeight="1">
      <c r="A10" s="77">
        <v>7</v>
      </c>
      <c r="B10" s="80" t="s">
        <v>130</v>
      </c>
    </row>
    <row r="11" spans="1:2" ht="30" customHeight="1">
      <c r="A11" s="77">
        <v>8</v>
      </c>
      <c r="B11" s="80" t="s">
        <v>134</v>
      </c>
    </row>
    <row r="12" spans="1:2" ht="30" customHeight="1">
      <c r="A12" s="77">
        <v>9</v>
      </c>
      <c r="B12" s="80" t="s">
        <v>110</v>
      </c>
    </row>
    <row r="13" spans="1:2" ht="30" customHeight="1">
      <c r="A13" s="77">
        <v>10</v>
      </c>
      <c r="B13" s="80" t="s">
        <v>113</v>
      </c>
    </row>
    <row r="14" spans="1:2" ht="30" customHeight="1">
      <c r="A14" s="77">
        <v>11</v>
      </c>
      <c r="B14" s="80" t="s">
        <v>131</v>
      </c>
    </row>
    <row r="15" spans="1:2" ht="30" customHeight="1">
      <c r="A15" s="77">
        <v>12</v>
      </c>
      <c r="B15" s="80" t="s">
        <v>137</v>
      </c>
    </row>
    <row r="16" spans="1:2" ht="30" customHeight="1">
      <c r="A16" s="77">
        <v>13</v>
      </c>
      <c r="B16" s="80" t="s">
        <v>111</v>
      </c>
    </row>
    <row r="17" spans="1:2" ht="30" customHeight="1">
      <c r="A17" s="77">
        <v>14</v>
      </c>
      <c r="B17" s="80" t="s">
        <v>129</v>
      </c>
    </row>
    <row r="18" spans="1:2" ht="30" customHeight="1">
      <c r="A18" s="77">
        <v>15</v>
      </c>
      <c r="B18" s="80" t="s">
        <v>133</v>
      </c>
    </row>
    <row r="19" spans="1:2" ht="30" customHeight="1" thickBot="1">
      <c r="A19" s="78">
        <v>16</v>
      </c>
      <c r="B19" s="81" t="s">
        <v>128</v>
      </c>
    </row>
    <row r="20" ht="16.5" thickTop="1"/>
  </sheetData>
  <sheetProtection sheet="1"/>
  <mergeCells count="1">
    <mergeCell ref="A3:B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2"/>
  <sheetViews>
    <sheetView zoomScalePageLayoutView="0" workbookViewId="0" topLeftCell="A13">
      <selection activeCell="A20" sqref="A20:IV20"/>
    </sheetView>
  </sheetViews>
  <sheetFormatPr defaultColWidth="9.140625" defaultRowHeight="12.75"/>
  <cols>
    <col min="1" max="1" width="6.140625" style="0" customWidth="1"/>
    <col min="3" max="4" width="30.7109375" style="0" customWidth="1"/>
    <col min="5" max="5" width="6.7109375" style="0" customWidth="1"/>
    <col min="6" max="6" width="1.28515625" style="0" customWidth="1"/>
    <col min="7" max="7" width="6.7109375" style="0" customWidth="1"/>
    <col min="9" max="9" width="11.28125" style="126" bestFit="1" customWidth="1"/>
  </cols>
  <sheetData>
    <row r="1" spans="1:7" ht="55.5" thickBot="1" thickTop="1">
      <c r="A1" s="1" t="s">
        <v>2</v>
      </c>
      <c r="B1" s="208" t="s">
        <v>85</v>
      </c>
      <c r="C1" s="209"/>
      <c r="D1" s="210"/>
      <c r="E1" s="211" t="s">
        <v>0</v>
      </c>
      <c r="F1" s="212"/>
      <c r="G1" s="213"/>
    </row>
    <row r="2" spans="1:10" ht="21" thickTop="1">
      <c r="A2" s="2">
        <v>1</v>
      </c>
      <c r="B2" s="113" t="s">
        <v>7</v>
      </c>
      <c r="C2" s="178" t="str">
        <f>Týmy!$B$4</f>
        <v>Gamblers Juniors</v>
      </c>
      <c r="D2" s="179" t="str">
        <f>Týmy!$B$5</f>
        <v>FK Juniorsko</v>
      </c>
      <c r="E2" s="15"/>
      <c r="F2" s="16" t="s">
        <v>1</v>
      </c>
      <c r="G2" s="26"/>
      <c r="I2" s="127"/>
      <c r="J2" s="127"/>
    </row>
    <row r="3" spans="1:10" ht="20.25">
      <c r="A3" s="2">
        <v>2</v>
      </c>
      <c r="B3" s="114" t="s">
        <v>16</v>
      </c>
      <c r="C3" s="178" t="str">
        <f>Týmy!$B$8</f>
        <v>FCH Most</v>
      </c>
      <c r="D3" s="179" t="str">
        <f>Týmy!$B$9</f>
        <v>Inseminátors FC II.</v>
      </c>
      <c r="E3" s="104"/>
      <c r="F3" s="19" t="s">
        <v>1</v>
      </c>
      <c r="G3" s="105"/>
      <c r="I3" s="127"/>
      <c r="J3" s="127"/>
    </row>
    <row r="4" spans="1:10" ht="20.25">
      <c r="A4" s="2">
        <v>3</v>
      </c>
      <c r="B4" s="114" t="s">
        <v>17</v>
      </c>
      <c r="C4" s="178" t="str">
        <f>Týmy!$B$12</f>
        <v>Gamblers Most</v>
      </c>
      <c r="D4" s="179" t="str">
        <f>Týmy!$B$13</f>
        <v>Inseminátors FC</v>
      </c>
      <c r="E4" s="104"/>
      <c r="F4" s="19" t="s">
        <v>1</v>
      </c>
      <c r="G4" s="105"/>
      <c r="I4" s="127"/>
      <c r="J4" s="127"/>
    </row>
    <row r="5" spans="1:10" ht="20.25">
      <c r="A5" s="2">
        <v>4</v>
      </c>
      <c r="B5" s="3" t="s">
        <v>18</v>
      </c>
      <c r="C5" s="178" t="str">
        <f>Týmy!$B$16</f>
        <v>Partizan Most</v>
      </c>
      <c r="D5" s="179" t="str">
        <f>Týmy!$B$17</f>
        <v>Sporting club</v>
      </c>
      <c r="E5" s="104"/>
      <c r="F5" s="19" t="s">
        <v>1</v>
      </c>
      <c r="G5" s="105"/>
      <c r="I5" s="127"/>
      <c r="J5" s="127"/>
    </row>
    <row r="6" spans="1:10" ht="20.25">
      <c r="A6" s="4">
        <v>5</v>
      </c>
      <c r="B6" s="5" t="s">
        <v>19</v>
      </c>
      <c r="C6" s="180" t="str">
        <f>Týmy!$B$6</f>
        <v>Hyeny</v>
      </c>
      <c r="D6" s="181" t="str">
        <f>Týmy!$B$7</f>
        <v>Alergismus</v>
      </c>
      <c r="E6" s="18"/>
      <c r="F6" s="19" t="s">
        <v>1</v>
      </c>
      <c r="G6" s="27"/>
      <c r="I6" s="127"/>
      <c r="J6" s="127"/>
    </row>
    <row r="7" spans="1:10" ht="20.25">
      <c r="A7" s="4">
        <v>6</v>
      </c>
      <c r="B7" s="5" t="s">
        <v>33</v>
      </c>
      <c r="C7" s="180" t="str">
        <f>Týmy!$B$10</f>
        <v>GMS Most</v>
      </c>
      <c r="D7" s="181" t="str">
        <f>Týmy!$B$11</f>
        <v>Paradise</v>
      </c>
      <c r="E7" s="18"/>
      <c r="F7" s="19" t="s">
        <v>1</v>
      </c>
      <c r="G7" s="27"/>
      <c r="I7" s="127"/>
      <c r="J7" s="127"/>
    </row>
    <row r="8" spans="1:10" ht="20.25">
      <c r="A8" s="4">
        <v>7</v>
      </c>
      <c r="B8" s="5" t="s">
        <v>20</v>
      </c>
      <c r="C8" s="180" t="str">
        <f>Týmy!$B$14</f>
        <v>FC Internazionale Teplice</v>
      </c>
      <c r="D8" s="181" t="str">
        <f>Týmy!$B$15</f>
        <v>Krstný syni</v>
      </c>
      <c r="E8" s="18"/>
      <c r="F8" s="19" t="s">
        <v>1</v>
      </c>
      <c r="G8" s="27"/>
      <c r="I8" s="127"/>
      <c r="J8" s="127"/>
    </row>
    <row r="9" spans="1:10" ht="20.25">
      <c r="A9" s="4">
        <v>8</v>
      </c>
      <c r="B9" s="5" t="s">
        <v>21</v>
      </c>
      <c r="C9" s="180" t="str">
        <f>Týmy!$B$18</f>
        <v>Vamiro</v>
      </c>
      <c r="D9" s="181" t="str">
        <f>Týmy!$B$19</f>
        <v>FCH Most SG</v>
      </c>
      <c r="E9" s="18"/>
      <c r="F9" s="19" t="s">
        <v>1</v>
      </c>
      <c r="G9" s="27"/>
      <c r="I9" s="127"/>
      <c r="J9" s="127"/>
    </row>
    <row r="10" spans="1:10" ht="20.25">
      <c r="A10" s="4">
        <v>9</v>
      </c>
      <c r="B10" s="5" t="s">
        <v>8</v>
      </c>
      <c r="C10" s="180" t="str">
        <f>Týmy!$B$4</f>
        <v>Gamblers Juniors</v>
      </c>
      <c r="D10" s="181" t="str">
        <f>Týmy!$B$6</f>
        <v>Hyeny</v>
      </c>
      <c r="E10" s="18"/>
      <c r="F10" s="19" t="s">
        <v>1</v>
      </c>
      <c r="G10" s="27"/>
      <c r="I10" s="127"/>
      <c r="J10" s="127"/>
    </row>
    <row r="11" spans="1:10" ht="20.25">
      <c r="A11" s="4">
        <v>10</v>
      </c>
      <c r="B11" s="5" t="s">
        <v>22</v>
      </c>
      <c r="C11" s="180" t="str">
        <f>Týmy!$B$8</f>
        <v>FCH Most</v>
      </c>
      <c r="D11" s="181" t="str">
        <f>Týmy!$B$10</f>
        <v>GMS Most</v>
      </c>
      <c r="E11" s="18"/>
      <c r="F11" s="19" t="s">
        <v>1</v>
      </c>
      <c r="G11" s="27"/>
      <c r="I11" s="127"/>
      <c r="J11" s="127"/>
    </row>
    <row r="12" spans="1:10" ht="20.25">
      <c r="A12" s="4">
        <v>11</v>
      </c>
      <c r="B12" s="5" t="s">
        <v>23</v>
      </c>
      <c r="C12" s="180" t="str">
        <f>Týmy!$B$12</f>
        <v>Gamblers Most</v>
      </c>
      <c r="D12" s="181" t="str">
        <f>Týmy!$B$14</f>
        <v>FC Internazionale Teplice</v>
      </c>
      <c r="E12" s="18"/>
      <c r="F12" s="19" t="s">
        <v>1</v>
      </c>
      <c r="G12" s="27"/>
      <c r="I12" s="127"/>
      <c r="J12" s="127"/>
    </row>
    <row r="13" spans="1:10" ht="20.25">
      <c r="A13" s="4">
        <v>12</v>
      </c>
      <c r="B13" s="5" t="s">
        <v>35</v>
      </c>
      <c r="C13" s="180" t="str">
        <f>Týmy!$B$16</f>
        <v>Partizan Most</v>
      </c>
      <c r="D13" s="181" t="str">
        <f>Týmy!$B$18</f>
        <v>Vamiro</v>
      </c>
      <c r="E13" s="18"/>
      <c r="F13" s="19" t="s">
        <v>1</v>
      </c>
      <c r="G13" s="27"/>
      <c r="I13" s="127"/>
      <c r="J13" s="127"/>
    </row>
    <row r="14" spans="1:10" ht="20.25">
      <c r="A14" s="4">
        <v>13</v>
      </c>
      <c r="B14" s="5" t="s">
        <v>9</v>
      </c>
      <c r="C14" s="180" t="str">
        <f>Týmy!$B$5</f>
        <v>FK Juniorsko</v>
      </c>
      <c r="D14" s="181" t="str">
        <f>Týmy!$B$7</f>
        <v>Alergismus</v>
      </c>
      <c r="E14" s="18"/>
      <c r="F14" s="19" t="s">
        <v>1</v>
      </c>
      <c r="G14" s="27"/>
      <c r="I14" s="127"/>
      <c r="J14" s="127"/>
    </row>
    <row r="15" spans="1:10" ht="20.25">
      <c r="A15" s="4">
        <v>14</v>
      </c>
      <c r="B15" s="5" t="s">
        <v>24</v>
      </c>
      <c r="C15" s="180" t="str">
        <f>Týmy!$B$9</f>
        <v>Inseminátors FC II.</v>
      </c>
      <c r="D15" s="181" t="str">
        <f>Týmy!$B$11</f>
        <v>Paradise</v>
      </c>
      <c r="E15" s="18"/>
      <c r="F15" s="19" t="s">
        <v>1</v>
      </c>
      <c r="G15" s="27"/>
      <c r="I15" s="127"/>
      <c r="J15" s="127"/>
    </row>
    <row r="16" spans="1:10" ht="20.25">
      <c r="A16" s="4">
        <v>15</v>
      </c>
      <c r="B16" s="5" t="s">
        <v>10</v>
      </c>
      <c r="C16" s="180" t="str">
        <f>Týmy!$B$13</f>
        <v>Inseminátors FC</v>
      </c>
      <c r="D16" s="181" t="str">
        <f>Týmy!$B$15</f>
        <v>Krstný syni</v>
      </c>
      <c r="E16" s="18"/>
      <c r="F16" s="19" t="s">
        <v>1</v>
      </c>
      <c r="G16" s="27"/>
      <c r="I16" s="127"/>
      <c r="J16" s="127"/>
    </row>
    <row r="17" spans="1:10" ht="20.25">
      <c r="A17" s="4">
        <v>16</v>
      </c>
      <c r="B17" s="5" t="s">
        <v>25</v>
      </c>
      <c r="C17" s="180" t="str">
        <f>Týmy!$B$17</f>
        <v>Sporting club</v>
      </c>
      <c r="D17" s="181" t="str">
        <f>Týmy!$B$19</f>
        <v>FCH Most SG</v>
      </c>
      <c r="E17" s="18"/>
      <c r="F17" s="19" t="s">
        <v>1</v>
      </c>
      <c r="G17" s="27"/>
      <c r="I17" s="127"/>
      <c r="J17" s="127"/>
    </row>
    <row r="18" spans="1:10" ht="20.25">
      <c r="A18" s="4">
        <v>17</v>
      </c>
      <c r="B18" s="5" t="s">
        <v>31</v>
      </c>
      <c r="C18" s="180" t="str">
        <f>Týmy!$B$4</f>
        <v>Gamblers Juniors</v>
      </c>
      <c r="D18" s="181" t="str">
        <f>Týmy!$B$7</f>
        <v>Alergismus</v>
      </c>
      <c r="E18" s="18"/>
      <c r="F18" s="19" t="s">
        <v>1</v>
      </c>
      <c r="G18" s="27"/>
      <c r="I18" s="127"/>
      <c r="J18" s="127"/>
    </row>
    <row r="19" spans="1:10" ht="20.25">
      <c r="A19" s="4">
        <v>18</v>
      </c>
      <c r="B19" s="5" t="s">
        <v>34</v>
      </c>
      <c r="C19" s="180" t="str">
        <f>Týmy!$B$8</f>
        <v>FCH Most</v>
      </c>
      <c r="D19" s="181" t="str">
        <f>Týmy!$B$11</f>
        <v>Paradise</v>
      </c>
      <c r="E19" s="106"/>
      <c r="F19" s="19" t="s">
        <v>1</v>
      </c>
      <c r="G19" s="107"/>
      <c r="I19" s="127"/>
      <c r="J19" s="127"/>
    </row>
    <row r="20" spans="1:10" ht="20.25">
      <c r="A20" s="4">
        <v>19</v>
      </c>
      <c r="B20" s="5" t="s">
        <v>11</v>
      </c>
      <c r="C20" s="180" t="str">
        <f>Týmy!$B$12</f>
        <v>Gamblers Most</v>
      </c>
      <c r="D20" s="181" t="str">
        <f>Týmy!$B$15</f>
        <v>Krstný syni</v>
      </c>
      <c r="E20" s="106"/>
      <c r="F20" s="19" t="s">
        <v>1</v>
      </c>
      <c r="G20" s="107"/>
      <c r="I20" s="127"/>
      <c r="J20" s="127"/>
    </row>
    <row r="21" spans="1:10" ht="20.25">
      <c r="A21" s="4">
        <v>20</v>
      </c>
      <c r="B21" s="5" t="s">
        <v>26</v>
      </c>
      <c r="C21" s="180" t="str">
        <f>Týmy!$B$16</f>
        <v>Partizan Most</v>
      </c>
      <c r="D21" s="181" t="str">
        <f>Týmy!$B$19</f>
        <v>FCH Most SG</v>
      </c>
      <c r="E21" s="106"/>
      <c r="F21" s="19" t="s">
        <v>1</v>
      </c>
      <c r="G21" s="107"/>
      <c r="I21" s="127"/>
      <c r="J21" s="127"/>
    </row>
    <row r="22" spans="1:10" ht="20.25">
      <c r="A22" s="4">
        <v>21</v>
      </c>
      <c r="B22" s="5" t="s">
        <v>27</v>
      </c>
      <c r="C22" s="180" t="str">
        <f>Týmy!$B$5</f>
        <v>FK Juniorsko</v>
      </c>
      <c r="D22" s="181" t="str">
        <f>Týmy!$B$6</f>
        <v>Hyeny</v>
      </c>
      <c r="E22" s="18"/>
      <c r="F22" s="19" t="s">
        <v>1</v>
      </c>
      <c r="G22" s="27"/>
      <c r="I22" s="127"/>
      <c r="J22" s="127"/>
    </row>
    <row r="23" spans="1:10" ht="20.25">
      <c r="A23" s="4">
        <v>22</v>
      </c>
      <c r="B23" s="114" t="s">
        <v>28</v>
      </c>
      <c r="C23" s="180" t="str">
        <f>Týmy!$B$9</f>
        <v>Inseminátors FC II.</v>
      </c>
      <c r="D23" s="181" t="str">
        <f>Týmy!$B$10</f>
        <v>GMS Most</v>
      </c>
      <c r="E23" s="18"/>
      <c r="F23" s="19" t="s">
        <v>1</v>
      </c>
      <c r="G23" s="27"/>
      <c r="I23" s="127"/>
      <c r="J23" s="127"/>
    </row>
    <row r="24" spans="1:10" ht="20.25">
      <c r="A24" s="4">
        <v>23</v>
      </c>
      <c r="B24" s="114" t="s">
        <v>12</v>
      </c>
      <c r="C24" s="180" t="str">
        <f>Týmy!$B$13</f>
        <v>Inseminátors FC</v>
      </c>
      <c r="D24" s="181" t="str">
        <f>Týmy!$B$14</f>
        <v>FC Internazionale Teplice</v>
      </c>
      <c r="E24" s="18"/>
      <c r="F24" s="19" t="s">
        <v>1</v>
      </c>
      <c r="G24" s="27"/>
      <c r="I24" s="127"/>
      <c r="J24" s="127"/>
    </row>
    <row r="25" spans="1:10" ht="21" thickBot="1">
      <c r="A25" s="4">
        <v>24</v>
      </c>
      <c r="B25" s="103" t="s">
        <v>32</v>
      </c>
      <c r="C25" s="180" t="str">
        <f>Týmy!$B$17</f>
        <v>Sporting club</v>
      </c>
      <c r="D25" s="181" t="str">
        <f>Týmy!$B$18</f>
        <v>Vamiro</v>
      </c>
      <c r="E25" s="110"/>
      <c r="F25" s="66" t="s">
        <v>1</v>
      </c>
      <c r="G25" s="111"/>
      <c r="I25" s="127"/>
      <c r="J25" s="127"/>
    </row>
    <row r="26" spans="1:10" ht="55.5" thickBot="1" thickTop="1">
      <c r="A26" s="1" t="s">
        <v>2</v>
      </c>
      <c r="B26" s="214" t="s">
        <v>13</v>
      </c>
      <c r="C26" s="215"/>
      <c r="D26" s="216"/>
      <c r="E26" s="217" t="s">
        <v>0</v>
      </c>
      <c r="F26" s="218"/>
      <c r="G26" s="219"/>
      <c r="J26" s="127"/>
    </row>
    <row r="27" spans="1:10" ht="21" thickTop="1">
      <c r="A27" s="2">
        <v>25</v>
      </c>
      <c r="B27" s="3" t="s">
        <v>29</v>
      </c>
      <c r="C27" s="182" t="s">
        <v>86</v>
      </c>
      <c r="D27" s="183" t="s">
        <v>87</v>
      </c>
      <c r="E27" s="100"/>
      <c r="F27" s="65" t="s">
        <v>1</v>
      </c>
      <c r="G27" s="117"/>
      <c r="I27" s="127"/>
      <c r="J27" s="127"/>
    </row>
    <row r="28" spans="1:10" ht="20.25">
      <c r="A28" s="4">
        <v>26</v>
      </c>
      <c r="B28" s="5" t="s">
        <v>94</v>
      </c>
      <c r="C28" s="184" t="s">
        <v>90</v>
      </c>
      <c r="D28" s="185" t="s">
        <v>91</v>
      </c>
      <c r="E28" s="24"/>
      <c r="F28" s="65" t="s">
        <v>1</v>
      </c>
      <c r="G28" s="20"/>
      <c r="I28" s="127"/>
      <c r="J28" s="127"/>
    </row>
    <row r="29" spans="1:10" ht="20.25">
      <c r="A29" s="4">
        <v>27</v>
      </c>
      <c r="B29" s="5" t="s">
        <v>95</v>
      </c>
      <c r="C29" s="184" t="s">
        <v>89</v>
      </c>
      <c r="D29" s="185" t="s">
        <v>88</v>
      </c>
      <c r="E29" s="24"/>
      <c r="F29" s="65" t="s">
        <v>1</v>
      </c>
      <c r="G29" s="20"/>
      <c r="I29" s="127"/>
      <c r="J29" s="127"/>
    </row>
    <row r="30" spans="1:10" ht="21" thickBot="1">
      <c r="A30" s="115">
        <v>28</v>
      </c>
      <c r="B30" s="116" t="s">
        <v>77</v>
      </c>
      <c r="C30" s="186" t="s">
        <v>93</v>
      </c>
      <c r="D30" s="187" t="s">
        <v>92</v>
      </c>
      <c r="E30" s="101"/>
      <c r="F30" s="112" t="s">
        <v>1</v>
      </c>
      <c r="G30" s="118"/>
      <c r="I30" s="127"/>
      <c r="J30" s="127"/>
    </row>
    <row r="31" spans="1:10" ht="55.5" thickBot="1" thickTop="1">
      <c r="A31" s="1" t="s">
        <v>2</v>
      </c>
      <c r="B31" s="223" t="s">
        <v>14</v>
      </c>
      <c r="C31" s="224"/>
      <c r="D31" s="225"/>
      <c r="E31" s="217" t="s">
        <v>0</v>
      </c>
      <c r="F31" s="218"/>
      <c r="G31" s="219"/>
      <c r="J31" s="127"/>
    </row>
    <row r="32" spans="1:10" ht="21" thickTop="1">
      <c r="A32" s="2">
        <v>29</v>
      </c>
      <c r="B32" s="3" t="s">
        <v>78</v>
      </c>
      <c r="C32" s="188" t="str">
        <f>IF(COUNTBLANK(E27:G27)=0,IF(E27&lt;G27,D27,IF(E27=G27,1,C27)),"Vítěz 1A/2C")</f>
        <v>Vítěz 1A/2C</v>
      </c>
      <c r="D32" s="189" t="str">
        <f>IF(COUNTBLANK(E28:G28)=0,IF(E28&lt;G28,D28,IF(E28=G28,1,C28)),"Vítěz 2D/1B")</f>
        <v>Vítěz 2D/1B</v>
      </c>
      <c r="E32" s="100"/>
      <c r="F32" s="65" t="s">
        <v>1</v>
      </c>
      <c r="G32" s="117"/>
      <c r="I32" s="127"/>
      <c r="J32" s="127"/>
    </row>
    <row r="33" spans="1:10" ht="21" thickBot="1">
      <c r="A33" s="115">
        <v>30</v>
      </c>
      <c r="B33" s="116" t="s">
        <v>96</v>
      </c>
      <c r="C33" s="190" t="str">
        <f>IF(COUNTBLANK(E29:G29)=0,IF(E29&lt;G29,D29,IF(E29=G29,1,C29)),"Vítěz 1C/2A")</f>
        <v>Vítěz 1C/2A</v>
      </c>
      <c r="D33" s="191" t="str">
        <f>IF(COUNTBLANK(E30:G30)=0,IF(E30&lt;G30,D30,IF(E30=G30,1,C30)),"Vítěz 2B/1D")</f>
        <v>Vítěz 2B/1D</v>
      </c>
      <c r="E33" s="101"/>
      <c r="F33" s="112" t="s">
        <v>1</v>
      </c>
      <c r="G33" s="118"/>
      <c r="I33" s="127"/>
      <c r="J33" s="127"/>
    </row>
    <row r="34" spans="1:10" ht="55.5" thickBot="1" thickTop="1">
      <c r="A34" s="1" t="s">
        <v>2</v>
      </c>
      <c r="B34" s="226" t="s">
        <v>30</v>
      </c>
      <c r="C34" s="227"/>
      <c r="D34" s="228"/>
      <c r="E34" s="217" t="s">
        <v>0</v>
      </c>
      <c r="F34" s="218"/>
      <c r="G34" s="219"/>
      <c r="J34" s="127"/>
    </row>
    <row r="35" spans="1:10" ht="21.75" thickBot="1" thickTop="1">
      <c r="A35" s="108">
        <v>31</v>
      </c>
      <c r="B35" s="109" t="s">
        <v>97</v>
      </c>
      <c r="C35" s="192" t="str">
        <f>IF(COUNTBLANK(E32:G32)=0,IF(E32&lt;G32,C32,IF(E31=G31,1,D31)),"Poražený(1A/2C-2D/1B)")</f>
        <v>Poražený(1A/2C-2D/1B)</v>
      </c>
      <c r="D35" s="193" t="str">
        <f>IF(COUNTBLANK(E33:G33)=0,IF(E33&lt;G33,C33,IF(F33=H33,1,D33)),"Poražený(1C/2A-2B/1D)")</f>
        <v>Poražený(1C/2A-2B/1D)</v>
      </c>
      <c r="E35" s="119"/>
      <c r="F35" s="112" t="s">
        <v>1</v>
      </c>
      <c r="G35" s="120"/>
      <c r="I35" s="127"/>
      <c r="J35" s="127"/>
    </row>
    <row r="36" spans="1:10" ht="55.5" thickBot="1" thickTop="1">
      <c r="A36" s="1" t="s">
        <v>2</v>
      </c>
      <c r="B36" s="220" t="s">
        <v>15</v>
      </c>
      <c r="C36" s="221"/>
      <c r="D36" s="222"/>
      <c r="E36" s="217" t="s">
        <v>0</v>
      </c>
      <c r="F36" s="218"/>
      <c r="G36" s="219"/>
      <c r="J36" s="127"/>
    </row>
    <row r="37" spans="1:10" ht="21.75" thickBot="1" thickTop="1">
      <c r="A37" s="102">
        <v>32</v>
      </c>
      <c r="B37" s="103" t="s">
        <v>98</v>
      </c>
      <c r="C37" s="192" t="str">
        <f>IF(COUNTBLANK(E32:G32)=0,IF(E32&lt;G32,D32,IF(E32=G32,1,C33)),"Vítěz (1A/2C-2D/1B)")</f>
        <v>Vítěz (1A/2C-2D/1B)</v>
      </c>
      <c r="D37" s="193" t="str">
        <f>IF(COUNTBLANK(E33:G33)=0,IF(E33&lt;G33,D33,IF(E33=G33,1,C33)),"Vítěz (1C/2A-2B/1D)")</f>
        <v>Vítěz (1C/2A-2B/1D)</v>
      </c>
      <c r="E37" s="121"/>
      <c r="F37" s="66" t="s">
        <v>1</v>
      </c>
      <c r="G37" s="122"/>
      <c r="I37" s="127"/>
      <c r="J37" s="127"/>
    </row>
    <row r="38" spans="1:10" ht="21" thickTop="1">
      <c r="A38" s="6"/>
      <c r="B38" s="7"/>
      <c r="C38" s="6"/>
      <c r="D38" s="6"/>
      <c r="E38" s="8"/>
      <c r="J38" s="127"/>
    </row>
    <row r="39" ht="20.25">
      <c r="J39" s="127"/>
    </row>
    <row r="40" ht="20.25">
      <c r="J40" s="127"/>
    </row>
    <row r="41" ht="20.25">
      <c r="J41" s="127"/>
    </row>
    <row r="42" ht="20.25">
      <c r="J42" s="127"/>
    </row>
    <row r="43" ht="20.25">
      <c r="J43" s="127"/>
    </row>
    <row r="44" ht="20.25">
      <c r="J44" s="127"/>
    </row>
    <row r="45" ht="20.25">
      <c r="J45" s="127"/>
    </row>
    <row r="46" ht="20.25">
      <c r="J46" s="127"/>
    </row>
    <row r="47" ht="20.25">
      <c r="J47" s="127"/>
    </row>
    <row r="48" ht="20.25">
      <c r="J48" s="127"/>
    </row>
    <row r="49" ht="20.25">
      <c r="J49" s="127"/>
    </row>
    <row r="50" ht="20.25">
      <c r="J50" s="127"/>
    </row>
    <row r="51" ht="20.25">
      <c r="J51" s="127"/>
    </row>
    <row r="52" ht="20.25">
      <c r="J52" s="127"/>
    </row>
    <row r="53" ht="20.25">
      <c r="J53" s="127"/>
    </row>
    <row r="54" ht="20.25">
      <c r="J54" s="127"/>
    </row>
    <row r="55" ht="20.25">
      <c r="J55" s="127"/>
    </row>
    <row r="56" ht="20.25">
      <c r="J56" s="127"/>
    </row>
    <row r="57" ht="20.25">
      <c r="J57" s="127"/>
    </row>
    <row r="58" ht="20.25">
      <c r="J58" s="127"/>
    </row>
    <row r="59" ht="20.25">
      <c r="J59" s="127"/>
    </row>
    <row r="60" ht="20.25">
      <c r="J60" s="127"/>
    </row>
    <row r="61" ht="20.25">
      <c r="J61" s="127"/>
    </row>
    <row r="62" ht="20.25">
      <c r="J62" s="127"/>
    </row>
    <row r="63" ht="20.25">
      <c r="J63" s="127"/>
    </row>
    <row r="64" ht="20.25">
      <c r="J64" s="127"/>
    </row>
    <row r="65" ht="20.25">
      <c r="J65" s="127"/>
    </row>
    <row r="66" ht="20.25">
      <c r="J66" s="127"/>
    </row>
    <row r="67" ht="20.25">
      <c r="J67" s="127"/>
    </row>
    <row r="68" ht="20.25">
      <c r="J68" s="127"/>
    </row>
    <row r="69" ht="20.25">
      <c r="J69" s="127"/>
    </row>
    <row r="70" ht="20.25">
      <c r="J70" s="127"/>
    </row>
    <row r="71" ht="20.25">
      <c r="J71" s="127"/>
    </row>
    <row r="72" ht="20.25">
      <c r="J72" s="127"/>
    </row>
    <row r="73" ht="20.25">
      <c r="J73" s="127"/>
    </row>
    <row r="74" ht="20.25">
      <c r="J74" s="127"/>
    </row>
    <row r="75" ht="20.25">
      <c r="J75" s="127"/>
    </row>
    <row r="76" ht="20.25">
      <c r="J76" s="127"/>
    </row>
    <row r="77" ht="20.25">
      <c r="J77" s="127"/>
    </row>
    <row r="78" ht="20.25">
      <c r="J78" s="127"/>
    </row>
    <row r="79" ht="20.25">
      <c r="J79" s="127"/>
    </row>
    <row r="80" ht="20.25">
      <c r="J80" s="127"/>
    </row>
    <row r="81" ht="20.25">
      <c r="J81" s="127"/>
    </row>
    <row r="82" ht="20.25">
      <c r="J82" s="127"/>
    </row>
    <row r="83" ht="20.25">
      <c r="J83" s="127"/>
    </row>
    <row r="84" ht="20.25">
      <c r="J84" s="127"/>
    </row>
    <row r="85" ht="20.25">
      <c r="J85" s="127"/>
    </row>
    <row r="86" ht="20.25">
      <c r="J86" s="127"/>
    </row>
    <row r="87" ht="20.25">
      <c r="J87" s="127"/>
    </row>
    <row r="88" ht="20.25">
      <c r="J88" s="127"/>
    </row>
    <row r="89" ht="20.25">
      <c r="J89" s="127"/>
    </row>
    <row r="90" ht="20.25">
      <c r="J90" s="127"/>
    </row>
    <row r="91" ht="20.25">
      <c r="J91" s="127"/>
    </row>
    <row r="92" ht="20.25">
      <c r="J92" s="127"/>
    </row>
    <row r="93" ht="20.25">
      <c r="J93" s="127"/>
    </row>
    <row r="94" ht="20.25">
      <c r="J94" s="127"/>
    </row>
    <row r="95" ht="20.25">
      <c r="J95" s="127"/>
    </row>
    <row r="96" ht="20.25">
      <c r="J96" s="127"/>
    </row>
    <row r="97" ht="20.25">
      <c r="J97" s="127"/>
    </row>
    <row r="98" ht="20.25">
      <c r="J98" s="127"/>
    </row>
    <row r="99" ht="20.25">
      <c r="J99" s="127"/>
    </row>
    <row r="100" ht="20.25">
      <c r="J100" s="127"/>
    </row>
    <row r="101" ht="20.25">
      <c r="J101" s="127"/>
    </row>
    <row r="102" ht="20.25">
      <c r="J102" s="127"/>
    </row>
    <row r="103" ht="20.25">
      <c r="J103" s="127"/>
    </row>
    <row r="104" ht="20.25">
      <c r="J104" s="127"/>
    </row>
    <row r="105" ht="20.25">
      <c r="J105" s="127"/>
    </row>
    <row r="106" ht="20.25">
      <c r="J106" s="127"/>
    </row>
    <row r="107" ht="20.25">
      <c r="J107" s="127"/>
    </row>
    <row r="108" ht="20.25">
      <c r="J108" s="127"/>
    </row>
    <row r="109" ht="20.25">
      <c r="J109" s="127"/>
    </row>
    <row r="110" ht="20.25">
      <c r="J110" s="127"/>
    </row>
    <row r="111" ht="20.25">
      <c r="J111" s="127"/>
    </row>
    <row r="112" ht="20.25">
      <c r="J112" s="127"/>
    </row>
    <row r="113" ht="20.25">
      <c r="J113" s="127"/>
    </row>
    <row r="114" ht="20.25">
      <c r="J114" s="127"/>
    </row>
    <row r="115" ht="20.25">
      <c r="J115" s="127"/>
    </row>
    <row r="116" ht="20.25">
      <c r="J116" s="127"/>
    </row>
    <row r="117" ht="20.25">
      <c r="J117" s="127"/>
    </row>
    <row r="118" ht="20.25">
      <c r="J118" s="127"/>
    </row>
    <row r="119" ht="20.25">
      <c r="J119" s="127"/>
    </row>
    <row r="120" ht="20.25">
      <c r="J120" s="127"/>
    </row>
    <row r="121" ht="20.25">
      <c r="J121" s="127"/>
    </row>
    <row r="122" ht="20.25">
      <c r="J122" s="127"/>
    </row>
    <row r="123" ht="20.25">
      <c r="J123" s="127"/>
    </row>
    <row r="124" ht="20.25">
      <c r="J124" s="127"/>
    </row>
    <row r="125" ht="20.25">
      <c r="J125" s="127"/>
    </row>
    <row r="126" ht="20.25">
      <c r="J126" s="127"/>
    </row>
    <row r="127" ht="20.25">
      <c r="J127" s="127"/>
    </row>
    <row r="128" ht="20.25">
      <c r="J128" s="127"/>
    </row>
    <row r="129" ht="20.25">
      <c r="J129" s="127"/>
    </row>
    <row r="130" ht="20.25">
      <c r="J130" s="127"/>
    </row>
    <row r="131" ht="20.25">
      <c r="J131" s="127"/>
    </row>
    <row r="132" ht="20.25">
      <c r="J132" s="127"/>
    </row>
    <row r="133" ht="20.25">
      <c r="J133" s="127"/>
    </row>
    <row r="134" ht="20.25">
      <c r="J134" s="127"/>
    </row>
    <row r="135" ht="20.25">
      <c r="J135" s="127"/>
    </row>
    <row r="136" ht="20.25">
      <c r="J136" s="127"/>
    </row>
    <row r="137" ht="20.25">
      <c r="J137" s="127"/>
    </row>
    <row r="138" ht="20.25">
      <c r="J138" s="127"/>
    </row>
    <row r="139" ht="20.25">
      <c r="J139" s="127"/>
    </row>
    <row r="140" ht="20.25">
      <c r="J140" s="127"/>
    </row>
    <row r="141" ht="20.25">
      <c r="J141" s="127"/>
    </row>
    <row r="142" ht="20.25">
      <c r="J142" s="127"/>
    </row>
    <row r="143" ht="20.25">
      <c r="J143" s="127"/>
    </row>
    <row r="144" ht="20.25">
      <c r="J144" s="127"/>
    </row>
    <row r="145" ht="20.25">
      <c r="J145" s="127"/>
    </row>
    <row r="146" ht="20.25">
      <c r="J146" s="127"/>
    </row>
    <row r="147" ht="20.25">
      <c r="J147" s="127"/>
    </row>
    <row r="148" ht="20.25">
      <c r="J148" s="127"/>
    </row>
    <row r="149" ht="20.25">
      <c r="J149" s="127"/>
    </row>
    <row r="150" ht="20.25">
      <c r="J150" s="127"/>
    </row>
    <row r="151" ht="20.25">
      <c r="J151" s="127"/>
    </row>
    <row r="152" ht="20.25">
      <c r="J152" s="127"/>
    </row>
    <row r="153" ht="20.25">
      <c r="J153" s="127"/>
    </row>
    <row r="154" ht="20.25">
      <c r="J154" s="127"/>
    </row>
    <row r="155" ht="20.25">
      <c r="J155" s="127"/>
    </row>
    <row r="156" ht="20.25">
      <c r="J156" s="127"/>
    </row>
    <row r="157" ht="20.25">
      <c r="J157" s="127"/>
    </row>
    <row r="158" ht="20.25">
      <c r="J158" s="127"/>
    </row>
    <row r="159" ht="20.25">
      <c r="J159" s="127"/>
    </row>
    <row r="160" ht="20.25">
      <c r="J160" s="127"/>
    </row>
    <row r="161" ht="20.25">
      <c r="J161" s="127"/>
    </row>
    <row r="162" ht="20.25">
      <c r="J162" s="127"/>
    </row>
    <row r="163" ht="20.25">
      <c r="J163" s="127"/>
    </row>
    <row r="164" ht="20.25">
      <c r="J164" s="127"/>
    </row>
    <row r="165" ht="20.25">
      <c r="J165" s="127"/>
    </row>
    <row r="166" ht="20.25">
      <c r="J166" s="127"/>
    </row>
    <row r="167" ht="20.25">
      <c r="J167" s="127"/>
    </row>
    <row r="168" ht="20.25">
      <c r="J168" s="127"/>
    </row>
    <row r="169" ht="20.25">
      <c r="J169" s="127"/>
    </row>
    <row r="170" ht="20.25">
      <c r="J170" s="127"/>
    </row>
    <row r="171" ht="20.25">
      <c r="J171" s="127"/>
    </row>
    <row r="172" ht="20.25">
      <c r="J172" s="127"/>
    </row>
    <row r="173" ht="20.25">
      <c r="J173" s="127"/>
    </row>
    <row r="174" ht="20.25">
      <c r="J174" s="127"/>
    </row>
    <row r="175" ht="20.25">
      <c r="J175" s="127"/>
    </row>
    <row r="176" ht="20.25">
      <c r="J176" s="127"/>
    </row>
    <row r="177" ht="20.25">
      <c r="J177" s="127"/>
    </row>
    <row r="178" ht="20.25">
      <c r="J178" s="127"/>
    </row>
    <row r="179" ht="20.25">
      <c r="J179" s="127"/>
    </row>
    <row r="180" ht="20.25">
      <c r="J180" s="127"/>
    </row>
    <row r="181" ht="20.25">
      <c r="J181" s="127"/>
    </row>
    <row r="182" ht="20.25">
      <c r="J182" s="127"/>
    </row>
  </sheetData>
  <sheetProtection sheet="1"/>
  <protectedRanges>
    <protectedRange sqref="N2:N17 P2:P17" name="Oblast1"/>
  </protectedRanges>
  <mergeCells count="10">
    <mergeCell ref="B1:D1"/>
    <mergeCell ref="E1:G1"/>
    <mergeCell ref="B26:D26"/>
    <mergeCell ref="E26:G26"/>
    <mergeCell ref="B36:D36"/>
    <mergeCell ref="E36:G36"/>
    <mergeCell ref="B31:D31"/>
    <mergeCell ref="E31:G31"/>
    <mergeCell ref="B34:D34"/>
    <mergeCell ref="E34:G34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31">
      <selection activeCell="U40" sqref="U40"/>
    </sheetView>
  </sheetViews>
  <sheetFormatPr defaultColWidth="9.140625" defaultRowHeight="12.75"/>
  <cols>
    <col min="1" max="1" width="6.140625" style="176" customWidth="1"/>
    <col min="2" max="2" width="9.140625" style="176" customWidth="1"/>
    <col min="3" max="4" width="30.7109375" style="176" customWidth="1"/>
    <col min="5" max="5" width="6.7109375" style="0" customWidth="1"/>
    <col min="6" max="6" width="1.28515625" style="0" customWidth="1"/>
    <col min="7" max="7" width="6.7109375" style="0" customWidth="1"/>
    <col min="8" max="8" width="27.7109375" style="0" customWidth="1"/>
    <col min="9" max="9" width="11.28125" style="0" hidden="1" customWidth="1"/>
    <col min="10" max="10" width="9.140625" style="0" hidden="1" customWidth="1"/>
    <col min="11" max="11" width="21.57421875" style="0" hidden="1" customWidth="1"/>
    <col min="12" max="12" width="27.57421875" style="0" hidden="1" customWidth="1"/>
    <col min="13" max="20" width="9.140625" style="0" hidden="1" customWidth="1"/>
    <col min="21" max="29" width="9.140625" style="0" customWidth="1"/>
  </cols>
  <sheetData>
    <row r="1" spans="1:7" ht="55.5" thickBot="1" thickTop="1">
      <c r="A1" s="157" t="s">
        <v>2</v>
      </c>
      <c r="B1" s="235" t="s">
        <v>3</v>
      </c>
      <c r="C1" s="236"/>
      <c r="D1" s="237"/>
      <c r="E1" s="211" t="s">
        <v>0</v>
      </c>
      <c r="F1" s="212"/>
      <c r="G1" s="213"/>
    </row>
    <row r="2" spans="1:19" ht="21" thickTop="1">
      <c r="A2" s="158">
        <v>1</v>
      </c>
      <c r="B2" s="159" t="s">
        <v>7</v>
      </c>
      <c r="C2" s="194" t="str">
        <f>Týmy!$B$4</f>
        <v>Gamblers Juniors</v>
      </c>
      <c r="D2" s="195" t="str">
        <f>Týmy!$B$5</f>
        <v>FK Juniorsko</v>
      </c>
      <c r="E2" s="15">
        <v>1</v>
      </c>
      <c r="F2" s="16" t="s">
        <v>1</v>
      </c>
      <c r="G2" s="26">
        <v>1</v>
      </c>
      <c r="I2" s="40" t="s">
        <v>66</v>
      </c>
      <c r="J2" s="40"/>
      <c r="K2" s="41" t="s">
        <v>67</v>
      </c>
      <c r="L2" s="252" t="str">
        <f>IF(OR(S2="los2",S2="los3",S2="los4"),"Zadejte vítěze losování o 1. místo:",S2)</f>
        <v>FK Juniorsko</v>
      </c>
      <c r="M2" s="253"/>
      <c r="N2" s="253"/>
      <c r="O2" s="253"/>
      <c r="P2" s="253"/>
      <c r="Q2" s="42"/>
      <c r="R2" s="39"/>
      <c r="S2" s="35" t="str">
        <f>Tabulky!$BN$6</f>
        <v>FK Juniorsko</v>
      </c>
    </row>
    <row r="3" spans="1:19" ht="20.25">
      <c r="A3" s="160">
        <v>5</v>
      </c>
      <c r="B3" s="161" t="s">
        <v>19</v>
      </c>
      <c r="C3" s="196" t="str">
        <f>Týmy!$B$6</f>
        <v>Hyeny</v>
      </c>
      <c r="D3" s="197" t="str">
        <f>Týmy!$B$7</f>
        <v>Alergismus</v>
      </c>
      <c r="E3" s="18">
        <v>3</v>
      </c>
      <c r="F3" s="19" t="s">
        <v>1</v>
      </c>
      <c r="G3" s="27">
        <v>5</v>
      </c>
      <c r="I3" s="40"/>
      <c r="J3" s="40"/>
      <c r="K3" s="41" t="s">
        <v>68</v>
      </c>
      <c r="L3" s="252" t="str">
        <f>IF(OR(S3="los2",S3="los3"),"Zadejte vítěze losování o 2. místo:",S3)</f>
        <v>Gamblers Juniors</v>
      </c>
      <c r="M3" s="253"/>
      <c r="N3" s="253"/>
      <c r="O3" s="253"/>
      <c r="P3" s="253"/>
      <c r="Q3" s="42"/>
      <c r="R3" s="39"/>
      <c r="S3" s="35" t="str">
        <f>Tabulky!$BN$7</f>
        <v>Gamblers Juniors</v>
      </c>
    </row>
    <row r="4" spans="1:19" ht="20.25">
      <c r="A4" s="160">
        <v>9</v>
      </c>
      <c r="B4" s="161" t="s">
        <v>8</v>
      </c>
      <c r="C4" s="196" t="str">
        <f>Týmy!$B$4</f>
        <v>Gamblers Juniors</v>
      </c>
      <c r="D4" s="197" t="str">
        <f>Týmy!$B$6</f>
        <v>Hyeny</v>
      </c>
      <c r="E4" s="18">
        <v>0</v>
      </c>
      <c r="F4" s="19" t="s">
        <v>1</v>
      </c>
      <c r="G4" s="27">
        <v>0</v>
      </c>
      <c r="I4" s="40"/>
      <c r="J4" s="40"/>
      <c r="K4" s="41" t="s">
        <v>69</v>
      </c>
      <c r="L4" s="252" t="str">
        <f>IF(S4="los2","Zadejte vítěze losování o 3. místo.",S4)</f>
        <v>Alergismus</v>
      </c>
      <c r="M4" s="253"/>
      <c r="N4" s="253"/>
      <c r="O4" s="253"/>
      <c r="P4" s="253"/>
      <c r="Q4" s="42"/>
      <c r="R4" s="39"/>
      <c r="S4" s="35" t="str">
        <f>Tabulky!$BN$8</f>
        <v>Alergismus</v>
      </c>
    </row>
    <row r="5" spans="1:19" ht="20.25">
      <c r="A5" s="160">
        <v>13</v>
      </c>
      <c r="B5" s="161" t="s">
        <v>9</v>
      </c>
      <c r="C5" s="196" t="str">
        <f>Týmy!$B$5</f>
        <v>FK Juniorsko</v>
      </c>
      <c r="D5" s="197" t="str">
        <f>Týmy!$B$7</f>
        <v>Alergismus</v>
      </c>
      <c r="E5" s="18">
        <v>6</v>
      </c>
      <c r="F5" s="19" t="s">
        <v>1</v>
      </c>
      <c r="G5" s="27">
        <v>2</v>
      </c>
      <c r="I5" s="40"/>
      <c r="J5" s="40"/>
      <c r="K5" s="41" t="s">
        <v>70</v>
      </c>
      <c r="L5" s="252" t="str">
        <f>S5</f>
        <v>Hyeny</v>
      </c>
      <c r="M5" s="253"/>
      <c r="N5" s="253"/>
      <c r="O5" s="253"/>
      <c r="P5" s="253"/>
      <c r="Q5" s="39"/>
      <c r="R5" s="39"/>
      <c r="S5" s="35" t="str">
        <f>Tabulky!$BN$9</f>
        <v>Hyeny</v>
      </c>
    </row>
    <row r="6" spans="1:7" ht="20.25">
      <c r="A6" s="160">
        <v>17</v>
      </c>
      <c r="B6" s="161" t="s">
        <v>31</v>
      </c>
      <c r="C6" s="196" t="str">
        <f>Týmy!$B$4</f>
        <v>Gamblers Juniors</v>
      </c>
      <c r="D6" s="197" t="str">
        <f>Týmy!$B$7</f>
        <v>Alergismus</v>
      </c>
      <c r="E6" s="18">
        <v>5</v>
      </c>
      <c r="F6" s="19" t="s">
        <v>1</v>
      </c>
      <c r="G6" s="27">
        <v>2</v>
      </c>
    </row>
    <row r="7" spans="1:7" ht="21" thickBot="1">
      <c r="A7" s="160">
        <v>21</v>
      </c>
      <c r="B7" s="161" t="s">
        <v>27</v>
      </c>
      <c r="C7" s="196" t="str">
        <f>Týmy!$B$5</f>
        <v>FK Juniorsko</v>
      </c>
      <c r="D7" s="197" t="str">
        <f>Týmy!$B$6</f>
        <v>Hyeny</v>
      </c>
      <c r="E7" s="21">
        <v>3</v>
      </c>
      <c r="F7" s="22" t="s">
        <v>1</v>
      </c>
      <c r="G7" s="28">
        <v>0</v>
      </c>
    </row>
    <row r="8" spans="1:7" ht="55.5" thickBot="1" thickTop="1">
      <c r="A8" s="157" t="s">
        <v>2</v>
      </c>
      <c r="B8" s="235" t="s">
        <v>4</v>
      </c>
      <c r="C8" s="236"/>
      <c r="D8" s="237"/>
      <c r="E8" s="248" t="s">
        <v>0</v>
      </c>
      <c r="F8" s="218"/>
      <c r="G8" s="219"/>
    </row>
    <row r="9" spans="1:19" ht="21" thickTop="1">
      <c r="A9" s="162">
        <v>2</v>
      </c>
      <c r="B9" s="163" t="s">
        <v>16</v>
      </c>
      <c r="C9" s="198" t="str">
        <f>Týmy!$B$8</f>
        <v>FCH Most</v>
      </c>
      <c r="D9" s="199" t="str">
        <f>Týmy!$B$9</f>
        <v>Inseminátors FC II.</v>
      </c>
      <c r="E9" s="15">
        <v>0</v>
      </c>
      <c r="F9" s="16" t="s">
        <v>1</v>
      </c>
      <c r="G9" s="17">
        <v>0</v>
      </c>
      <c r="I9" s="40" t="s">
        <v>72</v>
      </c>
      <c r="J9" s="40"/>
      <c r="K9" s="41" t="s">
        <v>67</v>
      </c>
      <c r="L9" s="252" t="str">
        <f>IF(OR(S9="los2",S9="los3",S9="los4"),"Zadejte vítěze losování o 1. místo:",S9)</f>
        <v>Paradise</v>
      </c>
      <c r="M9" s="253"/>
      <c r="N9" s="253"/>
      <c r="O9" s="253"/>
      <c r="P9" s="253"/>
      <c r="Q9" s="39"/>
      <c r="R9" s="39"/>
      <c r="S9" s="39" t="str">
        <f>Tabulky!$BN$16</f>
        <v>Paradise</v>
      </c>
    </row>
    <row r="10" spans="1:19" ht="20.25">
      <c r="A10" s="160">
        <v>6</v>
      </c>
      <c r="B10" s="161" t="s">
        <v>33</v>
      </c>
      <c r="C10" s="196" t="str">
        <f>Týmy!$B$10</f>
        <v>GMS Most</v>
      </c>
      <c r="D10" s="197" t="str">
        <f>Týmy!$B$11</f>
        <v>Paradise</v>
      </c>
      <c r="E10" s="18">
        <v>1</v>
      </c>
      <c r="F10" s="19" t="s">
        <v>1</v>
      </c>
      <c r="G10" s="20">
        <v>3</v>
      </c>
      <c r="I10" s="39"/>
      <c r="J10" s="39"/>
      <c r="K10" s="41" t="s">
        <v>68</v>
      </c>
      <c r="L10" s="252" t="str">
        <f>IF(OR(S10="los2",S10="los3"),"Zadejte vítěze losování o 2. místo:",S10)</f>
        <v>Inseminátors FC II.</v>
      </c>
      <c r="M10" s="253"/>
      <c r="N10" s="253"/>
      <c r="O10" s="253"/>
      <c r="P10" s="253"/>
      <c r="Q10" s="39"/>
      <c r="R10" s="39"/>
      <c r="S10" s="39" t="str">
        <f>Tabulky!$BN$17</f>
        <v>Inseminátors FC II.</v>
      </c>
    </row>
    <row r="11" spans="1:19" ht="20.25">
      <c r="A11" s="160">
        <v>10</v>
      </c>
      <c r="B11" s="161" t="s">
        <v>22</v>
      </c>
      <c r="C11" s="196" t="str">
        <f>Týmy!$B$8</f>
        <v>FCH Most</v>
      </c>
      <c r="D11" s="197" t="str">
        <f>Týmy!$B$10</f>
        <v>GMS Most</v>
      </c>
      <c r="E11" s="18">
        <v>1</v>
      </c>
      <c r="F11" s="19" t="s">
        <v>1</v>
      </c>
      <c r="G11" s="20">
        <v>4</v>
      </c>
      <c r="I11" s="39"/>
      <c r="J11" s="39"/>
      <c r="K11" s="41" t="s">
        <v>69</v>
      </c>
      <c r="L11" s="252" t="str">
        <f>IF(S11="los2","Zadejte vítěze losování o 3. místo.",S11)</f>
        <v>FCH Most</v>
      </c>
      <c r="M11" s="253"/>
      <c r="N11" s="253"/>
      <c r="O11" s="253"/>
      <c r="P11" s="253"/>
      <c r="Q11" s="39"/>
      <c r="R11" s="39"/>
      <c r="S11" s="39" t="str">
        <f>Tabulky!$BN$18</f>
        <v>FCH Most</v>
      </c>
    </row>
    <row r="12" spans="1:19" ht="20.25">
      <c r="A12" s="160">
        <v>14</v>
      </c>
      <c r="B12" s="161" t="s">
        <v>24</v>
      </c>
      <c r="C12" s="196" t="str">
        <f>Týmy!$B$9</f>
        <v>Inseminátors FC II.</v>
      </c>
      <c r="D12" s="197" t="str">
        <f>Týmy!$B$11</f>
        <v>Paradise</v>
      </c>
      <c r="E12" s="18">
        <v>1</v>
      </c>
      <c r="F12" s="19" t="s">
        <v>1</v>
      </c>
      <c r="G12" s="20">
        <v>3</v>
      </c>
      <c r="I12" s="39"/>
      <c r="J12" s="39"/>
      <c r="K12" s="41" t="s">
        <v>70</v>
      </c>
      <c r="L12" s="252" t="str">
        <f>S12</f>
        <v>GMS Most</v>
      </c>
      <c r="M12" s="253"/>
      <c r="N12" s="253"/>
      <c r="O12" s="253"/>
      <c r="P12" s="253"/>
      <c r="Q12" s="39"/>
      <c r="R12" s="39"/>
      <c r="S12" s="39" t="str">
        <f>Tabulky!$BN$19</f>
        <v>GMS Most</v>
      </c>
    </row>
    <row r="13" spans="1:7" ht="20.25">
      <c r="A13" s="160">
        <v>18</v>
      </c>
      <c r="B13" s="161" t="s">
        <v>34</v>
      </c>
      <c r="C13" s="196" t="str">
        <f>Týmy!$B$8</f>
        <v>FCH Most</v>
      </c>
      <c r="D13" s="197" t="str">
        <f>Týmy!$B$11</f>
        <v>Paradise</v>
      </c>
      <c r="E13" s="18">
        <v>1</v>
      </c>
      <c r="F13" s="19" t="s">
        <v>1</v>
      </c>
      <c r="G13" s="20">
        <v>0</v>
      </c>
    </row>
    <row r="14" spans="1:7" ht="21" thickBot="1">
      <c r="A14" s="164">
        <v>22</v>
      </c>
      <c r="B14" s="165" t="s">
        <v>28</v>
      </c>
      <c r="C14" s="200" t="str">
        <f>Týmy!$B$9</f>
        <v>Inseminátors FC II.</v>
      </c>
      <c r="D14" s="201" t="str">
        <f>Týmy!$B$10</f>
        <v>GMS Most</v>
      </c>
      <c r="E14" s="21">
        <v>1</v>
      </c>
      <c r="F14" s="22" t="s">
        <v>1</v>
      </c>
      <c r="G14" s="23">
        <v>0</v>
      </c>
    </row>
    <row r="15" spans="1:7" ht="55.5" thickBot="1" thickTop="1">
      <c r="A15" s="166" t="s">
        <v>2</v>
      </c>
      <c r="B15" s="238" t="s">
        <v>5</v>
      </c>
      <c r="C15" s="239"/>
      <c r="D15" s="240"/>
      <c r="E15" s="249" t="s">
        <v>0</v>
      </c>
      <c r="F15" s="250"/>
      <c r="G15" s="251"/>
    </row>
    <row r="16" spans="1:19" ht="21" thickTop="1">
      <c r="A16" s="162">
        <v>3</v>
      </c>
      <c r="B16" s="163" t="s">
        <v>17</v>
      </c>
      <c r="C16" s="198" t="str">
        <f>Týmy!$B$12</f>
        <v>Gamblers Most</v>
      </c>
      <c r="D16" s="199" t="str">
        <f>Týmy!$B$13</f>
        <v>Inseminátors FC</v>
      </c>
      <c r="E16" s="70">
        <v>7</v>
      </c>
      <c r="F16" s="72" t="s">
        <v>1</v>
      </c>
      <c r="G16" s="26">
        <v>0</v>
      </c>
      <c r="I16" s="40" t="s">
        <v>74</v>
      </c>
      <c r="J16" s="40"/>
      <c r="K16" s="41" t="s">
        <v>67</v>
      </c>
      <c r="L16" s="252" t="str">
        <f>IF(OR(S16="los2",S16="los3",S16="los4"),"Zadejte vítěze losování o 1. místo:",S16)</f>
        <v>Krstný syni</v>
      </c>
      <c r="M16" s="253"/>
      <c r="N16" s="253"/>
      <c r="O16" s="253"/>
      <c r="P16" s="253"/>
      <c r="Q16" s="39"/>
      <c r="R16" s="39"/>
      <c r="S16" s="39" t="str">
        <f>Tabulky!$BN$26</f>
        <v>Krstný syni</v>
      </c>
    </row>
    <row r="17" spans="1:19" ht="20.25">
      <c r="A17" s="160">
        <v>7</v>
      </c>
      <c r="B17" s="161" t="s">
        <v>20</v>
      </c>
      <c r="C17" s="196" t="str">
        <f>Týmy!$B$14</f>
        <v>FC Internazionale Teplice</v>
      </c>
      <c r="D17" s="197" t="str">
        <f>Týmy!$B$15</f>
        <v>Krstný syni</v>
      </c>
      <c r="E17" s="24">
        <v>1</v>
      </c>
      <c r="F17" s="25" t="s">
        <v>1</v>
      </c>
      <c r="G17" s="27">
        <v>4</v>
      </c>
      <c r="I17" s="39"/>
      <c r="J17" s="39"/>
      <c r="K17" s="41" t="s">
        <v>68</v>
      </c>
      <c r="L17" s="252" t="str">
        <f>IF(OR(S17="los2",S17="los3",S17="los4"),"Zadejte vítěze losování o 1. místo:",S17)</f>
        <v>Gamblers Most</v>
      </c>
      <c r="M17" s="253"/>
      <c r="N17" s="253"/>
      <c r="O17" s="253"/>
      <c r="P17" s="253"/>
      <c r="Q17" s="39"/>
      <c r="R17" s="39"/>
      <c r="S17" s="39" t="str">
        <f>Tabulky!$BN$27</f>
        <v>Gamblers Most</v>
      </c>
    </row>
    <row r="18" spans="1:19" ht="20.25">
      <c r="A18" s="160">
        <v>11</v>
      </c>
      <c r="B18" s="161" t="s">
        <v>23</v>
      </c>
      <c r="C18" s="196" t="str">
        <f>Týmy!$B$12</f>
        <v>Gamblers Most</v>
      </c>
      <c r="D18" s="197" t="str">
        <f>Týmy!$B$14</f>
        <v>FC Internazionale Teplice</v>
      </c>
      <c r="E18" s="24">
        <v>0</v>
      </c>
      <c r="F18" s="25" t="s">
        <v>1</v>
      </c>
      <c r="G18" s="27">
        <v>0</v>
      </c>
      <c r="I18" s="39"/>
      <c r="J18" s="39"/>
      <c r="K18" s="41" t="s">
        <v>69</v>
      </c>
      <c r="L18" s="252" t="str">
        <f>IF(OR(S18="los2",S18="los3",S18="los4"),"Zadejte vítěze losování o 1. místo:",S18)</f>
        <v>Inseminátors FC</v>
      </c>
      <c r="M18" s="253"/>
      <c r="N18" s="253"/>
      <c r="O18" s="253"/>
      <c r="P18" s="253"/>
      <c r="Q18" s="39"/>
      <c r="R18" s="39"/>
      <c r="S18" s="39" t="str">
        <f>Tabulky!$BN$28</f>
        <v>Inseminátors FC</v>
      </c>
    </row>
    <row r="19" spans="1:19" ht="20.25">
      <c r="A19" s="160">
        <v>15</v>
      </c>
      <c r="B19" s="161" t="s">
        <v>10</v>
      </c>
      <c r="C19" s="196" t="str">
        <f>Týmy!$B$13</f>
        <v>Inseminátors FC</v>
      </c>
      <c r="D19" s="197" t="str">
        <f>Týmy!$B$15</f>
        <v>Krstný syni</v>
      </c>
      <c r="E19" s="24">
        <v>0</v>
      </c>
      <c r="F19" s="25" t="s">
        <v>1</v>
      </c>
      <c r="G19" s="27">
        <v>1</v>
      </c>
      <c r="I19" s="39"/>
      <c r="J19" s="39"/>
      <c r="K19" s="41" t="s">
        <v>70</v>
      </c>
      <c r="L19" s="252" t="str">
        <f>IF(OR(S19="los2",S19="los3",S19="los4"),"Zadejte vítěze losování o 1. místo:",S19)</f>
        <v>FC Internazionale Teplice</v>
      </c>
      <c r="M19" s="253"/>
      <c r="N19" s="253"/>
      <c r="O19" s="253"/>
      <c r="P19" s="253"/>
      <c r="Q19" s="39"/>
      <c r="R19" s="39"/>
      <c r="S19" s="39" t="str">
        <f>Tabulky!$BN$29</f>
        <v>FC Internazionale Teplice</v>
      </c>
    </row>
    <row r="20" spans="1:7" ht="20.25">
      <c r="A20" s="160">
        <v>19</v>
      </c>
      <c r="B20" s="161" t="s">
        <v>11</v>
      </c>
      <c r="C20" s="196" t="str">
        <f>Týmy!$B$12</f>
        <v>Gamblers Most</v>
      </c>
      <c r="D20" s="197" t="str">
        <f>Týmy!$B$15</f>
        <v>Krstný syni</v>
      </c>
      <c r="E20" s="24">
        <v>3</v>
      </c>
      <c r="F20" s="25" t="s">
        <v>1</v>
      </c>
      <c r="G20" s="27">
        <v>3</v>
      </c>
    </row>
    <row r="21" spans="1:7" ht="21" thickBot="1">
      <c r="A21" s="164">
        <v>23</v>
      </c>
      <c r="B21" s="165" t="s">
        <v>12</v>
      </c>
      <c r="C21" s="200" t="str">
        <f>Týmy!$B$13</f>
        <v>Inseminátors FC</v>
      </c>
      <c r="D21" s="201" t="str">
        <f>Týmy!$B$14</f>
        <v>FC Internazionale Teplice</v>
      </c>
      <c r="E21" s="71">
        <v>2</v>
      </c>
      <c r="F21" s="73" t="s">
        <v>1</v>
      </c>
      <c r="G21" s="28">
        <v>1</v>
      </c>
    </row>
    <row r="22" spans="1:7" ht="55.5" thickBot="1" thickTop="1">
      <c r="A22" s="167" t="s">
        <v>2</v>
      </c>
      <c r="B22" s="241" t="s">
        <v>6</v>
      </c>
      <c r="C22" s="241"/>
      <c r="D22" s="241"/>
      <c r="E22" s="249" t="s">
        <v>0</v>
      </c>
      <c r="F22" s="250"/>
      <c r="G22" s="251"/>
    </row>
    <row r="23" spans="1:19" ht="21" thickTop="1">
      <c r="A23" s="162">
        <v>4</v>
      </c>
      <c r="B23" s="163" t="s">
        <v>18</v>
      </c>
      <c r="C23" s="198" t="str">
        <f>Týmy!$B$16</f>
        <v>Partizan Most</v>
      </c>
      <c r="D23" s="199" t="str">
        <f>Týmy!$B$17</f>
        <v>Sporting club</v>
      </c>
      <c r="E23" s="70">
        <v>0</v>
      </c>
      <c r="F23" s="72">
        <v>0</v>
      </c>
      <c r="G23" s="17">
        <v>0</v>
      </c>
      <c r="I23" s="40" t="s">
        <v>76</v>
      </c>
      <c r="J23" s="40"/>
      <c r="K23" s="41" t="s">
        <v>67</v>
      </c>
      <c r="L23" s="252" t="str">
        <f>IF(OR(S23="los2",S23="los3",S23="los4"),"Zadejte vítěze losování o 1. místo:",S23)</f>
        <v>Partizan Most</v>
      </c>
      <c r="M23" s="253"/>
      <c r="N23" s="253"/>
      <c r="O23" s="253"/>
      <c r="P23" s="253"/>
      <c r="Q23" s="39"/>
      <c r="R23" s="39"/>
      <c r="S23" s="39" t="str">
        <f>Tabulky!$BN$36</f>
        <v>Partizan Most</v>
      </c>
    </row>
    <row r="24" spans="1:19" ht="20.25">
      <c r="A24" s="160">
        <v>8</v>
      </c>
      <c r="B24" s="161" t="s">
        <v>21</v>
      </c>
      <c r="C24" s="196" t="str">
        <f>Týmy!$B$18</f>
        <v>Vamiro</v>
      </c>
      <c r="D24" s="197" t="str">
        <f>Týmy!$B$19</f>
        <v>FCH Most SG</v>
      </c>
      <c r="E24" s="24">
        <v>9</v>
      </c>
      <c r="F24" s="25" t="s">
        <v>1</v>
      </c>
      <c r="G24" s="20">
        <v>0</v>
      </c>
      <c r="I24" s="39"/>
      <c r="J24" s="39"/>
      <c r="K24" s="41" t="s">
        <v>68</v>
      </c>
      <c r="L24" s="252" t="str">
        <f>IF(OR(S24="los2",S24="los3",S24="los4"),"Zadejte vítěze losování o 1. místo:",S24)</f>
        <v>Vamiro</v>
      </c>
      <c r="M24" s="253"/>
      <c r="N24" s="253"/>
      <c r="O24" s="253"/>
      <c r="P24" s="253"/>
      <c r="Q24" s="39"/>
      <c r="R24" s="39"/>
      <c r="S24" s="39" t="str">
        <f>Tabulky!$BN$37</f>
        <v>Vamiro</v>
      </c>
    </row>
    <row r="25" spans="1:19" ht="20.25">
      <c r="A25" s="160">
        <v>12</v>
      </c>
      <c r="B25" s="161" t="s">
        <v>35</v>
      </c>
      <c r="C25" s="196" t="str">
        <f>Týmy!$B$16</f>
        <v>Partizan Most</v>
      </c>
      <c r="D25" s="197" t="str">
        <f>Týmy!$B$18</f>
        <v>Vamiro</v>
      </c>
      <c r="E25" s="24">
        <v>1</v>
      </c>
      <c r="F25" s="25" t="s">
        <v>1</v>
      </c>
      <c r="G25" s="20">
        <v>0</v>
      </c>
      <c r="I25" s="39"/>
      <c r="J25" s="39"/>
      <c r="K25" s="41" t="s">
        <v>69</v>
      </c>
      <c r="L25" s="252" t="str">
        <f>IF(OR(S25="los2",S25="los3",S25="los4"),"Zadejte vítěze losování o 1. místo:",S25)</f>
        <v>FCH Most SG</v>
      </c>
      <c r="M25" s="253"/>
      <c r="N25" s="253"/>
      <c r="O25" s="253"/>
      <c r="P25" s="253"/>
      <c r="Q25" s="39"/>
      <c r="R25" s="39"/>
      <c r="S25" s="39" t="str">
        <f>Tabulky!$BN$38</f>
        <v>FCH Most SG</v>
      </c>
    </row>
    <row r="26" spans="1:19" ht="20.25">
      <c r="A26" s="160">
        <v>16</v>
      </c>
      <c r="B26" s="161" t="s">
        <v>25</v>
      </c>
      <c r="C26" s="196" t="str">
        <f>Týmy!$B$17</f>
        <v>Sporting club</v>
      </c>
      <c r="D26" s="197" t="str">
        <f>Týmy!$B$19</f>
        <v>FCH Most SG</v>
      </c>
      <c r="E26" s="24">
        <v>0</v>
      </c>
      <c r="F26" s="25" t="s">
        <v>1</v>
      </c>
      <c r="G26" s="20">
        <v>1</v>
      </c>
      <c r="I26" s="39"/>
      <c r="J26" s="39"/>
      <c r="K26" s="41" t="s">
        <v>70</v>
      </c>
      <c r="L26" s="252" t="str">
        <f>IF(OR(S26="los2",S26="los3",S26="los4"),"Zadejte vítěze losování o 1. místo:",S26)</f>
        <v>Sporting club</v>
      </c>
      <c r="M26" s="253"/>
      <c r="N26" s="253"/>
      <c r="O26" s="253"/>
      <c r="P26" s="253"/>
      <c r="Q26" s="39"/>
      <c r="R26" s="39"/>
      <c r="S26" s="39" t="str">
        <f>Tabulky!$BN$39</f>
        <v>Sporting club</v>
      </c>
    </row>
    <row r="27" spans="1:7" ht="20.25">
      <c r="A27" s="160">
        <v>20</v>
      </c>
      <c r="B27" s="161" t="s">
        <v>26</v>
      </c>
      <c r="C27" s="196" t="str">
        <f>Týmy!$B$16</f>
        <v>Partizan Most</v>
      </c>
      <c r="D27" s="197" t="str">
        <f>Týmy!$B$19</f>
        <v>FCH Most SG</v>
      </c>
      <c r="E27" s="24">
        <v>3</v>
      </c>
      <c r="F27" s="25" t="s">
        <v>1</v>
      </c>
      <c r="G27" s="20">
        <v>1</v>
      </c>
    </row>
    <row r="28" spans="1:7" ht="21" thickBot="1">
      <c r="A28" s="164">
        <v>24</v>
      </c>
      <c r="B28" s="165" t="s">
        <v>32</v>
      </c>
      <c r="C28" s="200" t="str">
        <f>Týmy!$B$17</f>
        <v>Sporting club</v>
      </c>
      <c r="D28" s="201" t="str">
        <f>Týmy!$B$18</f>
        <v>Vamiro</v>
      </c>
      <c r="E28" s="71">
        <v>1</v>
      </c>
      <c r="F28" s="73" t="s">
        <v>1</v>
      </c>
      <c r="G28" s="23">
        <v>2</v>
      </c>
    </row>
    <row r="29" spans="1:7" ht="55.5" thickBot="1" thickTop="1">
      <c r="A29" s="157" t="s">
        <v>2</v>
      </c>
      <c r="B29" s="242" t="s">
        <v>13</v>
      </c>
      <c r="C29" s="243"/>
      <c r="D29" s="244"/>
      <c r="E29" s="217" t="s">
        <v>0</v>
      </c>
      <c r="F29" s="218"/>
      <c r="G29" s="219"/>
    </row>
    <row r="30" spans="1:13" ht="21" thickTop="1">
      <c r="A30" s="158">
        <v>25</v>
      </c>
      <c r="B30" s="159" t="s">
        <v>29</v>
      </c>
      <c r="C30" s="194" t="str">
        <f>Tabulky!$BN$6</f>
        <v>FK Juniorsko</v>
      </c>
      <c r="D30" s="195" t="str">
        <f>Tabulky!$BN$27</f>
        <v>Gamblers Most</v>
      </c>
      <c r="E30" s="100">
        <v>1</v>
      </c>
      <c r="F30" s="65" t="s">
        <v>1</v>
      </c>
      <c r="G30" s="117">
        <v>2</v>
      </c>
      <c r="K30" s="35" t="str">
        <f>IF(COUNTBLANK(E30:G30)=0,IF(E30&gt;G30,C30,IF(E30&lt;G30,D30,"vítěz")),"vítěz")</f>
        <v>Gamblers Most</v>
      </c>
      <c r="L30" s="35" t="str">
        <f>IF(COUNTBLANK(E30:G30)=0,IF(E30&lt;G30,C30,IF(E30&gt;G30,D30,"poražený ze čtvrtfinále 1")),"poražený ze čtvrtfinále 1")</f>
        <v>FK Juniorsko</v>
      </c>
      <c r="M30" s="64"/>
    </row>
    <row r="31" spans="1:13" ht="20.25">
      <c r="A31" s="160">
        <v>26</v>
      </c>
      <c r="B31" s="161" t="s">
        <v>94</v>
      </c>
      <c r="C31" s="196" t="str">
        <f>Tabulky!$BN$16</f>
        <v>Paradise</v>
      </c>
      <c r="D31" s="197" t="str">
        <f>Tabulky!$BN$37</f>
        <v>Vamiro</v>
      </c>
      <c r="E31" s="24">
        <v>0</v>
      </c>
      <c r="F31" s="65" t="s">
        <v>1</v>
      </c>
      <c r="G31" s="20">
        <v>7</v>
      </c>
      <c r="K31" s="35" t="str">
        <f>IF(COUNTBLANK(E31:G31)=0,IF(E31&gt;G31,C31,IF(E31&lt;G31,D31,"vítěz")),"vítěz")</f>
        <v>Vamiro</v>
      </c>
      <c r="L31" s="35" t="str">
        <f>IF(COUNTBLANK(E31:G31)=0,IF(E31&lt;G31,C31,IF(E31&gt;G31,D31,"poražený ze čtvrtfinále 1")),"poražený ze čtvrtfinále 2")</f>
        <v>Paradise</v>
      </c>
      <c r="M31" s="64"/>
    </row>
    <row r="32" spans="1:13" ht="20.25">
      <c r="A32" s="160">
        <v>27</v>
      </c>
      <c r="B32" s="161" t="s">
        <v>95</v>
      </c>
      <c r="C32" s="196" t="str">
        <f>Tabulky!$BN$26</f>
        <v>Krstný syni</v>
      </c>
      <c r="D32" s="197" t="str">
        <f>Tabulky!$BN$7</f>
        <v>Gamblers Juniors</v>
      </c>
      <c r="E32" s="24">
        <v>1</v>
      </c>
      <c r="F32" s="65" t="s">
        <v>1</v>
      </c>
      <c r="G32" s="20">
        <v>0</v>
      </c>
      <c r="K32" s="35" t="str">
        <f>IF(COUNTBLANK(E32:G32)=0,IF(E32&gt;G32,C32,IF(E32&lt;G32,D32,"vítěz")),"vítěz")</f>
        <v>Krstný syni</v>
      </c>
      <c r="L32" s="35" t="str">
        <f>IF(COUNTBLANK(E32:G32)=0,IF(E32&lt;G32,C32,IF(E32&gt;G32,D32,"poražený ze čtvrtfinále 1")),"poražený ze čtvrtfinále 3")</f>
        <v>Gamblers Juniors</v>
      </c>
      <c r="M32" s="64"/>
    </row>
    <row r="33" spans="1:13" ht="21" thickBot="1">
      <c r="A33" s="164">
        <v>28</v>
      </c>
      <c r="B33" s="168" t="s">
        <v>77</v>
      </c>
      <c r="C33" s="200" t="str">
        <f>Tabulky!$BN$36</f>
        <v>Partizan Most</v>
      </c>
      <c r="D33" s="201" t="str">
        <f>Tabulky!$BN$17</f>
        <v>Inseminátors FC II.</v>
      </c>
      <c r="E33" s="71">
        <v>3</v>
      </c>
      <c r="F33" s="66" t="s">
        <v>1</v>
      </c>
      <c r="G33" s="23">
        <v>1</v>
      </c>
      <c r="K33" s="35" t="str">
        <f>IF(COUNTBLANK(E33:G33)=0,IF(E33&gt;G33,C33,IF(E33&lt;G33,D33,"vítěz")),"vítěz")</f>
        <v>Partizan Most</v>
      </c>
      <c r="L33" s="35" t="str">
        <f>IF(COUNTBLANK(E33:G33)=0,IF(E33&lt;G33,C33,IF(E33&gt;G33,D33,"poražený ze čtvrtfinále 1")),"poražený ze čtvrtfinále 4")</f>
        <v>Inseminátors FC II.</v>
      </c>
      <c r="M33" s="64"/>
    </row>
    <row r="34" spans="1:13" ht="55.5" thickBot="1" thickTop="1">
      <c r="A34" s="157" t="s">
        <v>2</v>
      </c>
      <c r="B34" s="245" t="s">
        <v>14</v>
      </c>
      <c r="C34" s="246"/>
      <c r="D34" s="247"/>
      <c r="E34" s="217" t="s">
        <v>0</v>
      </c>
      <c r="F34" s="218"/>
      <c r="G34" s="219"/>
      <c r="K34" s="64"/>
      <c r="L34" s="64"/>
      <c r="M34" s="64"/>
    </row>
    <row r="35" spans="1:13" ht="21" thickTop="1">
      <c r="A35" s="162">
        <v>29</v>
      </c>
      <c r="B35" s="159" t="s">
        <v>78</v>
      </c>
      <c r="C35" s="188" t="str">
        <f>IF(COUNTBLANK(E30:G30)=0,IF(E30&lt;G30,D30,IF(E30=G30,1,C30)),"Vítěz 1A/2C")</f>
        <v>Gamblers Most</v>
      </c>
      <c r="D35" s="189" t="str">
        <f>IF(COUNTBLANK(E31:G31)=0,IF(E31&lt;G31,D31,IF(E31=G31,1,C31)),"Vítěz 2D/1B")</f>
        <v>Vamiro</v>
      </c>
      <c r="E35" s="70">
        <v>1</v>
      </c>
      <c r="F35" s="16" t="s">
        <v>1</v>
      </c>
      <c r="G35" s="17">
        <v>0</v>
      </c>
      <c r="K35" s="35" t="str">
        <f>IF(COUNTBLANK(E35:G35)=0,IF(E35&gt;G35,C35,IF(E35&lt;G35,D35,"vítěz")),"vítěz")</f>
        <v>Gamblers Most</v>
      </c>
      <c r="L35" s="35" t="str">
        <f>IF(COUNTBLANK(E35:G35)=0,IF(E35&lt;G35,C35,IF(E35&gt;G35,D35,"poražený")),"poražený")</f>
        <v>Vamiro</v>
      </c>
      <c r="M35" s="64"/>
    </row>
    <row r="36" spans="1:13" ht="21" thickBot="1">
      <c r="A36" s="169">
        <v>30</v>
      </c>
      <c r="B36" s="168" t="s">
        <v>96</v>
      </c>
      <c r="C36" s="202" t="str">
        <f>IF(COUNTBLANK(E32:G32)=0,IF(E32&lt;G32,D32,IF(E32=G32,1,C32)),"Vítěz 1C/2A")</f>
        <v>Krstný syni</v>
      </c>
      <c r="D36" s="203" t="str">
        <f>IF(COUNTBLANK(E33:G33)=0,IF(E33&lt;G33,D33,IF(E33=G33,1,C33)),"Vítěz 2B/1D")</f>
        <v>Partizan Most</v>
      </c>
      <c r="E36" s="101">
        <v>2</v>
      </c>
      <c r="F36" s="112" t="s">
        <v>1</v>
      </c>
      <c r="G36" s="118">
        <v>1</v>
      </c>
      <c r="K36" s="35" t="str">
        <f>IF(COUNTBLANK(E36:G36)=0,IF(E36&gt;G36,C36,IF(E36&lt;G36,D36,"vítěz")),"vítěz")</f>
        <v>Krstný syni</v>
      </c>
      <c r="L36" s="35" t="str">
        <f>IF(COUNTBLANK(E36:G36)=0,IF(E36&lt;G36,C36,IF(E36&gt;G36,D36,"poražený")),"poražený")</f>
        <v>Partizan Most</v>
      </c>
      <c r="M36" s="64"/>
    </row>
    <row r="37" spans="1:13" ht="55.5" thickBot="1" thickTop="1">
      <c r="A37" s="157" t="s">
        <v>2</v>
      </c>
      <c r="B37" s="229" t="s">
        <v>30</v>
      </c>
      <c r="C37" s="230"/>
      <c r="D37" s="231"/>
      <c r="E37" s="217" t="s">
        <v>0</v>
      </c>
      <c r="F37" s="218"/>
      <c r="G37" s="219"/>
      <c r="K37" s="64"/>
      <c r="L37" s="64"/>
      <c r="M37" s="64"/>
    </row>
    <row r="38" spans="1:16" ht="21.75" thickBot="1" thickTop="1">
      <c r="A38" s="170">
        <v>31</v>
      </c>
      <c r="B38" s="171" t="s">
        <v>97</v>
      </c>
      <c r="C38" s="192" t="str">
        <f>IF(COUNTBLANK(E35:G35)=0,IF(E35&lt;G35,C35,IF(E35=G35,1,D35)),"Poražený(1A/2C-2D/1B)")</f>
        <v>Vamiro</v>
      </c>
      <c r="D38" s="193" t="str">
        <f>IF(COUNTBLANK(E36:G36)=0,IF(E36&lt;G36,C36,IF(F36=H36,1,D36)),"Poražený(1C/2A-2B/1D)")</f>
        <v>Partizan Most</v>
      </c>
      <c r="E38" s="67">
        <v>2</v>
      </c>
      <c r="F38" s="68" t="s">
        <v>1</v>
      </c>
      <c r="G38" s="69">
        <v>0</v>
      </c>
      <c r="K38" s="75" t="str">
        <f>IF(COUNTBLANK(E38:G38)=0,IF(E38&gt;G38,C38,IF(E38&lt;G38,D38,"vítěz o 3. místo")),"vítěz o 3. místo")</f>
        <v>Vamiro</v>
      </c>
      <c r="L38" s="35" t="str">
        <f>IF(COUNTBLANK(E38:G38)=0,IF(E38&lt;G38,C38,IF(E38&gt;G38,D38,"poražený o 3. místo")),"poražený o 3. místo")</f>
        <v>Partizan Most</v>
      </c>
      <c r="M38" s="64"/>
      <c r="N38" s="74"/>
      <c r="O38" s="74"/>
      <c r="P38" s="74"/>
    </row>
    <row r="39" spans="1:13" ht="55.5" thickBot="1" thickTop="1">
      <c r="A39" s="157" t="s">
        <v>2</v>
      </c>
      <c r="B39" s="232" t="s">
        <v>15</v>
      </c>
      <c r="C39" s="233"/>
      <c r="D39" s="234"/>
      <c r="E39" s="217" t="s">
        <v>0</v>
      </c>
      <c r="F39" s="218"/>
      <c r="G39" s="219"/>
      <c r="K39" s="64"/>
      <c r="L39" s="64"/>
      <c r="M39" s="64"/>
    </row>
    <row r="40" spans="1:13" ht="21.75" thickBot="1" thickTop="1">
      <c r="A40" s="172">
        <v>32</v>
      </c>
      <c r="B40" s="173" t="s">
        <v>98</v>
      </c>
      <c r="C40" s="204" t="str">
        <f>IF(COUNTBLANK(E35:G35)=0,IF(E35&lt;G35,D35,IF(E35=G35,1,C35)),"Vítěz (1A/2C-2D/1B)")</f>
        <v>Gamblers Most</v>
      </c>
      <c r="D40" s="205" t="str">
        <f>IF(COUNTBLANK(E36:G36)=0,IF(E36&lt;G36,D36,IF(E36=G36,1,C36)),"Vítěz (1C/2A-2B/1D)")</f>
        <v>Krstný syni</v>
      </c>
      <c r="E40" s="121">
        <v>1</v>
      </c>
      <c r="F40" s="66" t="s">
        <v>1</v>
      </c>
      <c r="G40" s="122">
        <v>0</v>
      </c>
      <c r="K40" s="35" t="str">
        <f>IF(COUNTBLANK(E40:G40)=0,IF(E40&gt;G40,C40,IF(E40&lt;G40,D40,"vítěz finále")),"vítěz finále")</f>
        <v>Gamblers Most</v>
      </c>
      <c r="L40" s="35" t="str">
        <f>IF(COUNTBLANK(E40:G40)=0,IF(E40&lt;G40,C40,IF(E40&gt;G40,D40,"poražený z finále")),"poražený z finále")</f>
        <v>Krstný syni</v>
      </c>
      <c r="M40" s="64"/>
    </row>
    <row r="41" spans="1:13" ht="21" thickTop="1">
      <c r="A41" s="174"/>
      <c r="B41" s="175"/>
      <c r="C41" s="174"/>
      <c r="D41" s="174"/>
      <c r="E41" s="8"/>
      <c r="K41" s="64"/>
      <c r="L41" s="64"/>
      <c r="M41" s="64"/>
    </row>
  </sheetData>
  <sheetProtection/>
  <protectedRanges>
    <protectedRange sqref="N2:N5 P2:P5 N9:N12 P9:P12 N16:N19 P16:P19 N23:N26 P23:P26" name="Oblast1"/>
  </protectedRanges>
  <mergeCells count="32">
    <mergeCell ref="L23:P23"/>
    <mergeCell ref="L24:P24"/>
    <mergeCell ref="L25:P25"/>
    <mergeCell ref="L26:P26"/>
    <mergeCell ref="L16:P16"/>
    <mergeCell ref="L17:P17"/>
    <mergeCell ref="L18:P18"/>
    <mergeCell ref="L19:P19"/>
    <mergeCell ref="L9:P9"/>
    <mergeCell ref="L10:P10"/>
    <mergeCell ref="L11:P11"/>
    <mergeCell ref="L12:P12"/>
    <mergeCell ref="L2:P2"/>
    <mergeCell ref="L3:P3"/>
    <mergeCell ref="L4:P4"/>
    <mergeCell ref="L5:P5"/>
    <mergeCell ref="E29:G29"/>
    <mergeCell ref="E34:G34"/>
    <mergeCell ref="E37:G37"/>
    <mergeCell ref="E39:G39"/>
    <mergeCell ref="E1:G1"/>
    <mergeCell ref="E8:G8"/>
    <mergeCell ref="E15:G15"/>
    <mergeCell ref="E22:G22"/>
    <mergeCell ref="B37:D37"/>
    <mergeCell ref="B39:D39"/>
    <mergeCell ref="B1:D1"/>
    <mergeCell ref="B8:D8"/>
    <mergeCell ref="B15:D15"/>
    <mergeCell ref="B22:D22"/>
    <mergeCell ref="B29:D29"/>
    <mergeCell ref="B34:D34"/>
  </mergeCells>
  <conditionalFormatting sqref="R2:R5">
    <cfRule type="expression" priority="1" dxfId="1" stopIfTrue="1">
      <formula>OR(T2="los2",T2="los3",T2="los4")</formula>
    </cfRule>
    <cfRule type="expression" priority="2" dxfId="2" stopIfTrue="1">
      <formula>AND(T2&lt;&gt;"los2",T2&lt;&gt;"los3",T2&lt;&gt;"los4")</formula>
    </cfRule>
  </conditionalFormatting>
  <conditionalFormatting sqref="Q2:Q5">
    <cfRule type="expression" priority="3" dxfId="1" stopIfTrue="1">
      <formula>OR(S2="los2",S2="los3",S2="los4")</formula>
    </cfRule>
    <cfRule type="expression" priority="4" dxfId="0" stopIfTrue="1">
      <formula>AND(S2&lt;&gt;"los2",S2&lt;&gt;"los3",S2&lt;&gt;"los4")</formula>
    </cfRule>
  </conditionalFormatting>
  <dataValidations count="3">
    <dataValidation type="list" allowBlank="1" showInputMessage="1" showErrorMessage="1" promptTitle="Zadejte vítěze losu" prompt="Ze seznamu vyberte mužstvo, které vyhrálo losování o třetí místo ve skupině.&#10;POZOR! Budete-li dodatečně měnit výsledky jednotlivých zápasů ve skupině, musíte obsah této buňky vymazat!" errorTitle="Chyba" error="Toto zadání je neplatné. Vyberte jeden z týmů uvedených v rozbalovacím seznamu." sqref="Q4">
      <formula1>IF(S4="los2",T4:U4,IF(S4="los3",T4:V4,IF(S4="los4",T4:W4,"")))</formula1>
    </dataValidation>
    <dataValidation type="list" allowBlank="1" showInputMessage="1" showErrorMessage="1" promptTitle="Zadejte vítěze losu" prompt="Ze seznamu vyberte mužstvo, které vyhrálo losování o druhé místo ve skupině.&#10;POZOR! Budete-li dodatečně měnit výsledky jednotlivých zápasů ve skupině, musíte obsah této buňky vymazat!" errorTitle="Chyba" error="Toto zadání je neplatné. Vyberte jeden z týmů uvedených v rozbalovacím seznamu." sqref="Q3">
      <formula1>IF(S3="los2",T3:U3,IF(S3="los3",T3:V3,IF(S3="los4",T3:W3,"")))</formula1>
    </dataValidation>
    <dataValidation type="list" allowBlank="1" showInputMessage="1" showErrorMessage="1" promptTitle="Zadejte vítěze losu" prompt="Ze seznamu vyberte mužstvo, které vyhrálo losování o první místo ve skupině.&#10;POZOR! Budete-li dodatečně měnit výsledky jednotlivých zápasů ve skupině, musíte obsah této buňky vymazat!" errorTitle="Chyba" error="Toto zadání je neplatné. Vyberte jeden z týmů uvedených v rozbalovacím seznamu." sqref="Q2">
      <formula1>IF(S2="los2",T2:U2,IF(S2="los3",T2:V2,IF(S2="los4",T2:W2,"")))</formula1>
    </dataValidation>
  </dataValidations>
  <printOptions horizontalCentered="1" verticalCentered="1"/>
  <pageMargins left="0" right="0" top="0" bottom="0" header="0" footer="0"/>
  <pageSetup horizontalDpi="600" verticalDpi="600" orientation="portrait" paperSize="9" r:id="rId1"/>
  <ignoredErrors>
    <ignoredError sqref="D4 C3 C5:C6 C12:C13 C10 D11 C19:C20 C17 D18 D25 C24 C26:C2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BR40"/>
  <sheetViews>
    <sheetView zoomScalePageLayoutView="0" workbookViewId="0" topLeftCell="J9">
      <selection activeCell="W26" sqref="W26"/>
    </sheetView>
  </sheetViews>
  <sheetFormatPr defaultColWidth="9.140625" defaultRowHeight="19.5" customHeight="1"/>
  <cols>
    <col min="1" max="2" width="9.140625" style="0" hidden="1" customWidth="1"/>
    <col min="3" max="3" width="5.00390625" style="0" hidden="1" customWidth="1"/>
    <col min="4" max="4" width="2.28125" style="0" hidden="1" customWidth="1"/>
    <col min="5" max="5" width="3.140625" style="0" hidden="1" customWidth="1"/>
    <col min="6" max="6" width="9.140625" style="0" hidden="1" customWidth="1"/>
    <col min="7" max="8" width="6.140625" style="0" hidden="1" customWidth="1"/>
    <col min="9" max="9" width="9.140625" style="0" hidden="1" customWidth="1"/>
    <col min="10" max="10" width="20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8.7109375" style="0" hidden="1" customWidth="1"/>
    <col min="15" max="15" width="8.7109375" style="0" customWidth="1"/>
    <col min="16" max="16" width="1.7109375" style="0" customWidth="1"/>
    <col min="17" max="17" width="8.7109375" style="0" customWidth="1"/>
    <col min="18" max="18" width="8.7109375" style="0" hidden="1" customWidth="1"/>
    <col min="19" max="19" width="8.7109375" style="0" customWidth="1"/>
    <col min="20" max="20" width="1.7109375" style="0" customWidth="1"/>
    <col min="21" max="21" width="8.7109375" style="0" customWidth="1"/>
    <col min="22" max="22" width="8.7109375" style="0" hidden="1" customWidth="1"/>
    <col min="23" max="23" width="8.7109375" style="0" customWidth="1"/>
    <col min="24" max="24" width="1.7109375" style="0" customWidth="1"/>
    <col min="25" max="25" width="8.7109375" style="0" customWidth="1"/>
    <col min="26" max="26" width="5.7109375" style="0" hidden="1" customWidth="1"/>
    <col min="27" max="27" width="5.7109375" style="0" customWidth="1"/>
    <col min="28" max="28" width="1.28515625" style="0" customWidth="1"/>
    <col min="29" max="29" width="5.7109375" style="0" customWidth="1"/>
    <col min="30" max="30" width="6.140625" style="0" customWidth="1"/>
    <col min="31" max="31" width="13.28125" style="0" hidden="1" customWidth="1"/>
    <col min="32" max="32" width="11.00390625" style="0" customWidth="1"/>
    <col min="33" max="33" width="9.140625" style="0" customWidth="1"/>
    <col min="34" max="71" width="9.140625" style="0" hidden="1" customWidth="1"/>
    <col min="72" max="90" width="9.140625" style="0" customWidth="1"/>
  </cols>
  <sheetData>
    <row r="1" ht="19.5" customHeight="1" hidden="1" thickBot="1"/>
    <row r="2" spans="2:8" ht="19.5" customHeight="1" hidden="1" thickTop="1">
      <c r="B2" s="266" t="s">
        <v>63</v>
      </c>
      <c r="C2" s="267"/>
      <c r="D2" s="47"/>
      <c r="E2" s="48"/>
      <c r="F2" s="49">
        <f>COUNTBLANK(C4:E9)</f>
        <v>0</v>
      </c>
      <c r="G2" s="49"/>
      <c r="H2" s="50"/>
    </row>
    <row r="3" spans="2:8" ht="19.5" customHeight="1" hidden="1">
      <c r="B3" s="51"/>
      <c r="C3" s="33"/>
      <c r="D3" s="34"/>
      <c r="E3" s="32"/>
      <c r="F3" s="33"/>
      <c r="G3" s="33" t="s">
        <v>64</v>
      </c>
      <c r="H3" s="52" t="s">
        <v>65</v>
      </c>
    </row>
    <row r="4" spans="2:70" ht="19.5" customHeight="1" hidden="1" thickBot="1">
      <c r="B4" s="51" t="str">
        <f>Týmy!$B$4</f>
        <v>Gamblers Juniors</v>
      </c>
      <c r="C4" s="33">
        <f>$O$6</f>
        <v>1</v>
      </c>
      <c r="D4" s="34" t="s">
        <v>1</v>
      </c>
      <c r="E4" s="32">
        <f>$Q$6</f>
        <v>1</v>
      </c>
      <c r="F4" s="33" t="str">
        <f>Týmy!$B$5</f>
        <v>FK Juniorsko</v>
      </c>
      <c r="G4" s="33">
        <f aca="true" t="shared" si="0" ref="G4:G9">IF(COUNTBLANK(C4:E4)&gt;0,0,IF(C4&gt;E4,3,IF(C4=E4,1,0)))</f>
        <v>1</v>
      </c>
      <c r="H4" s="52">
        <f aca="true" t="shared" si="1" ref="H4:H9">IF(COUNTBLANK(C4:E4)&gt;0,0,IF(C4&lt;E4,3,IF(C4=E4,1,0)))</f>
        <v>1</v>
      </c>
      <c r="AH4" s="35"/>
      <c r="AI4" s="35"/>
      <c r="AJ4" s="35">
        <f>AF6</f>
        <v>2</v>
      </c>
      <c r="AK4" s="35">
        <f>AF7</f>
        <v>1</v>
      </c>
      <c r="AL4" s="35">
        <f>AF8</f>
        <v>4</v>
      </c>
      <c r="AM4" s="35">
        <f>AF9</f>
        <v>3</v>
      </c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>
        <f>IF(COUNTIF($AF$4:$AF$7,1)&gt;1,"O 1. místo ve skupině se bude losovat. ","")</f>
      </c>
      <c r="BN4" s="35"/>
      <c r="BO4" s="35"/>
      <c r="BP4" s="35"/>
      <c r="BQ4" s="35"/>
      <c r="BR4" s="35"/>
    </row>
    <row r="5" spans="2:70" ht="19.5" customHeight="1" thickTop="1">
      <c r="B5" s="51" t="str">
        <f>Týmy!$B$4</f>
        <v>Gamblers Juniors</v>
      </c>
      <c r="C5" s="33">
        <f>$S$6</f>
        <v>0</v>
      </c>
      <c r="D5" s="34" t="s">
        <v>1</v>
      </c>
      <c r="E5" s="32">
        <f>$U$6</f>
        <v>0</v>
      </c>
      <c r="F5" s="33" t="str">
        <f>Týmy!$B$6</f>
        <v>Hyeny</v>
      </c>
      <c r="G5" s="33">
        <f t="shared" si="0"/>
        <v>1</v>
      </c>
      <c r="H5" s="52">
        <f t="shared" si="1"/>
        <v>1</v>
      </c>
      <c r="J5" s="82" t="s">
        <v>39</v>
      </c>
      <c r="K5" s="257" t="str">
        <f>Týmy!$B$4</f>
        <v>Gamblers Juniors</v>
      </c>
      <c r="L5" s="258"/>
      <c r="M5" s="259"/>
      <c r="N5" s="16"/>
      <c r="O5" s="257" t="str">
        <f>Týmy!$B$5</f>
        <v>FK Juniorsko</v>
      </c>
      <c r="P5" s="258"/>
      <c r="Q5" s="259"/>
      <c r="R5" s="16"/>
      <c r="S5" s="257" t="str">
        <f>Týmy!$B$6</f>
        <v>Hyeny</v>
      </c>
      <c r="T5" s="258"/>
      <c r="U5" s="259"/>
      <c r="V5" s="16"/>
      <c r="W5" s="257" t="str">
        <f>Týmy!$B$7</f>
        <v>Alergismus</v>
      </c>
      <c r="X5" s="258"/>
      <c r="Y5" s="259"/>
      <c r="Z5" s="16"/>
      <c r="AA5" s="257" t="s">
        <v>36</v>
      </c>
      <c r="AB5" s="258"/>
      <c r="AC5" s="259"/>
      <c r="AD5" s="84" t="s">
        <v>37</v>
      </c>
      <c r="AE5" s="83" t="s">
        <v>46</v>
      </c>
      <c r="AF5" s="85" t="s">
        <v>38</v>
      </c>
      <c r="AH5" s="35" t="s">
        <v>47</v>
      </c>
      <c r="AI5" s="35"/>
      <c r="AJ5" s="35" t="str">
        <f>K5</f>
        <v>Gamblers Juniors</v>
      </c>
      <c r="AK5" s="35" t="str">
        <f>O5</f>
        <v>FK Juniorsko</v>
      </c>
      <c r="AL5" s="35" t="str">
        <f>S5</f>
        <v>Hyeny</v>
      </c>
      <c r="AM5" s="35" t="str">
        <f>W5</f>
        <v>Alergismus</v>
      </c>
      <c r="AN5" s="35" t="s">
        <v>45</v>
      </c>
      <c r="AO5" s="35" t="s">
        <v>48</v>
      </c>
      <c r="AP5" s="35" t="s">
        <v>49</v>
      </c>
      <c r="AQ5" s="35" t="s">
        <v>50</v>
      </c>
      <c r="AR5" s="35" t="s">
        <v>51</v>
      </c>
      <c r="AS5" s="35" t="s">
        <v>52</v>
      </c>
      <c r="AT5" s="35" t="s">
        <v>53</v>
      </c>
      <c r="AU5" s="35" t="s">
        <v>54</v>
      </c>
      <c r="AV5" s="35" t="s">
        <v>55</v>
      </c>
      <c r="AW5" s="35" t="s">
        <v>56</v>
      </c>
      <c r="AX5" s="35" t="s">
        <v>57</v>
      </c>
      <c r="AY5" s="35" t="s">
        <v>58</v>
      </c>
      <c r="AZ5" s="35"/>
      <c r="BA5" s="35" t="s">
        <v>59</v>
      </c>
      <c r="BB5" s="35" t="s">
        <v>60</v>
      </c>
      <c r="BC5" s="35" t="s">
        <v>61</v>
      </c>
      <c r="BD5" s="35" t="s">
        <v>62</v>
      </c>
      <c r="BE5" s="35"/>
      <c r="BF5" s="35"/>
      <c r="BG5" s="35"/>
      <c r="BH5" s="35"/>
      <c r="BI5" s="35"/>
      <c r="BJ5" s="35"/>
      <c r="BK5" s="35"/>
      <c r="BL5" s="35"/>
      <c r="BM5" s="35">
        <f>IF(COUNTIF($AF$4:$AF$7,2)&gt;1,"O 2. místo ve skupině se bude losovat. ","")</f>
      </c>
      <c r="BN5" s="35" t="str">
        <f>IF(OR((F2&gt;0),(COUNTBLANK(BM4:BM6)&lt;3)),"","dohrano")</f>
        <v>dohrano</v>
      </c>
      <c r="BO5" s="35" t="str">
        <f>BN6</f>
        <v>FK Juniorsko</v>
      </c>
      <c r="BP5" s="35" t="str">
        <f>BN7</f>
        <v>Gamblers Juniors</v>
      </c>
      <c r="BQ5" s="35" t="str">
        <f>BN8</f>
        <v>Alergismus</v>
      </c>
      <c r="BR5" s="35" t="str">
        <f>BN9</f>
        <v>Hyeny</v>
      </c>
    </row>
    <row r="6" spans="2:70" ht="19.5" customHeight="1">
      <c r="B6" s="51" t="str">
        <f>Týmy!$B$4</f>
        <v>Gamblers Juniors</v>
      </c>
      <c r="C6" s="33">
        <f>$W$6</f>
        <v>5</v>
      </c>
      <c r="D6" s="34" t="s">
        <v>1</v>
      </c>
      <c r="E6" s="32">
        <f>$Y$6</f>
        <v>2</v>
      </c>
      <c r="F6" s="33" t="str">
        <f>Týmy!$B$7</f>
        <v>Alergismus</v>
      </c>
      <c r="G6" s="33">
        <f t="shared" si="0"/>
        <v>3</v>
      </c>
      <c r="H6" s="52">
        <f t="shared" si="1"/>
        <v>0</v>
      </c>
      <c r="J6" s="86" t="str">
        <f>Týmy!$B$4</f>
        <v>Gamblers Juniors</v>
      </c>
      <c r="K6" s="254" t="s">
        <v>39</v>
      </c>
      <c r="L6" s="255"/>
      <c r="M6" s="256"/>
      <c r="N6" s="30"/>
      <c r="O6" s="14">
        <f>IF(ISBLANK(Výsledky!E2),"",Výsledky!E2)</f>
        <v>1</v>
      </c>
      <c r="P6" s="12" t="s">
        <v>1</v>
      </c>
      <c r="Q6" s="13">
        <f>IF(ISBLANK(Výsledky!G2),"",Výsledky!G2)</f>
        <v>1</v>
      </c>
      <c r="R6" s="31">
        <f>IF(COUNTBLANK(O6:Q6)=0,IF(O6&lt;Q6,0,IF(O6=Q6,1,3)),"")</f>
        <v>1</v>
      </c>
      <c r="S6" s="14">
        <f>IF(ISBLANK(Výsledky!E4),"",Výsledky!E4)</f>
        <v>0</v>
      </c>
      <c r="T6" s="12" t="s">
        <v>1</v>
      </c>
      <c r="U6" s="13">
        <f>IF(ISBLANK(Výsledky!G4),"",Výsledky!G4)</f>
        <v>0</v>
      </c>
      <c r="V6" s="31">
        <f>IF(COUNTBLANK(S6:U6)=0,IF(S6&lt;U6,0,IF(S6=U6,1,3)),"")</f>
        <v>1</v>
      </c>
      <c r="W6" s="14">
        <f>IF(ISBLANK(Výsledky!E6),"",Výsledky!E6)</f>
        <v>5</v>
      </c>
      <c r="X6" s="12" t="s">
        <v>1</v>
      </c>
      <c r="Y6" s="13">
        <f>IF(ISBLANK(Výsledky!G6),"",Výsledky!G6)</f>
        <v>2</v>
      </c>
      <c r="Z6" s="31">
        <f>IF(COUNTBLANK(W6:Y6)=0,IF(W6&lt;Y6,0,IF(W6=Y6,1,3)),"")</f>
        <v>3</v>
      </c>
      <c r="AA6" s="9">
        <f>SUM(O6,S6,W6)</f>
        <v>6</v>
      </c>
      <c r="AB6" s="10" t="s">
        <v>1</v>
      </c>
      <c r="AC6" s="11">
        <f>SUM(Q6,U6,Y6)</f>
        <v>3</v>
      </c>
      <c r="AD6" s="37">
        <f>SUM(G4+G5+G6)</f>
        <v>5</v>
      </c>
      <c r="AE6" s="38">
        <f>SUM(AA6-AC6)</f>
        <v>3</v>
      </c>
      <c r="AF6" s="87">
        <f>IF((F2=12),"",AH6)</f>
        <v>2</v>
      </c>
      <c r="AH6" s="36">
        <f>RANK(AW6,AW6:AW9)</f>
        <v>2</v>
      </c>
      <c r="AI6" s="35" t="str">
        <f>J6</f>
        <v>Gamblers Juniors</v>
      </c>
      <c r="AJ6" s="35"/>
      <c r="AK6" s="35"/>
      <c r="AL6" s="35"/>
      <c r="AM6" s="35"/>
      <c r="AN6" s="35">
        <f>AD6</f>
        <v>5</v>
      </c>
      <c r="AO6" s="35">
        <f>SUM(IF(AN7=AN6,R6,0),IF(AN8=AN6,V6,0),IF(AN9=AN6,Z6,0))</f>
        <v>0</v>
      </c>
      <c r="AP6" s="35">
        <f>AQ6-AR6</f>
        <v>0</v>
      </c>
      <c r="AQ6" s="35">
        <f>SUM(IF(AN7=AN6,O6,0),IF(AN8=AN6,S6,0),IF(AN9=AN6,W6,0))</f>
        <v>0</v>
      </c>
      <c r="AR6" s="35">
        <f>SUM(IF(AN7=AN6,Q6,0),IF(AN8=AN6,U6,0),IF(AN9=AN6,Y6,0))</f>
        <v>0</v>
      </c>
      <c r="AS6" s="35">
        <f>AE6</f>
        <v>3</v>
      </c>
      <c r="AT6" s="35">
        <f>AA6</f>
        <v>6</v>
      </c>
      <c r="AU6" s="35">
        <f>IF(AC6&gt;0,AA6/AC6,IF(AND(AA6&gt;0,AC6=0),90,0))</f>
        <v>2</v>
      </c>
      <c r="AV6" s="35">
        <f>IF(F4&gt;0,0,IF('[1]program'!I45=AI6,0.5,IF('[1]program'!I46=AI6,0.4,IF('[1]program'!I47=AI6,0.3,0))))</f>
        <v>0</v>
      </c>
      <c r="AW6" s="35">
        <f>1000000000*AN6+100000000*AO6+1000000*AP6+10000*AQ6+100*AS6+AT6+AV6</f>
        <v>5000000306</v>
      </c>
      <c r="AX6" s="35">
        <f>10000*AN6+100*AS6+AU6</f>
        <v>50302</v>
      </c>
      <c r="AY6" s="35">
        <f>RANK(AX6,AX6:AX9)</f>
        <v>2</v>
      </c>
      <c r="AZ6" s="35"/>
      <c r="BA6" s="35">
        <f>IF(AH6=1,AI6,"")</f>
      </c>
      <c r="BB6" s="35" t="str">
        <f>IF(AH6=2,AI6,"")</f>
        <v>Gamblers Juniors</v>
      </c>
      <c r="BC6" s="35">
        <f>IF(AH6=3,AI6,"")</f>
      </c>
      <c r="BD6" s="35">
        <f>IF(AH6=4,AI6,"")</f>
      </c>
      <c r="BE6" s="35"/>
      <c r="BF6" s="35" t="s">
        <v>59</v>
      </c>
      <c r="BG6" s="35" t="str">
        <f>IF(F2=0,IF(COUNTIF(AH6:AH9,1)=1,VLOOKUP(1,AH6:AI9,2,0),IF(COUNTIF(AH6:AH9,1)=2,"los2",IF(COUNTIF(AH6:AH9,1)=3,"los3","los4"))),"")</f>
        <v>FK Juniorsko</v>
      </c>
      <c r="BH6" s="35">
        <f>IF(BG6="los4",BA6,IF(OR(BG6="los2",BG6="los3"),IF(AH6=1,BA6,IF(AH7=1,BA7,IF(AH8=1,BA8,""))),""))</f>
      </c>
      <c r="BI6" s="35">
        <f>IF(OR(BG6="los2",BG6="los3",BG6="los4"),IF(BH6=AI6,IF(BA7=AI7,AI7,IF(BA8=AI8,AI8,AI9)),IF(BH6=AI7,IF(BA8=AI8,AI8,AI9),IF(BH6=AI8,AI9,""))),"")</f>
      </c>
      <c r="BJ6" s="35">
        <f>IF(BG6="los4",AI8,IF(BG6="los3",IF(BI6=AI7,IF(BA8=AI8,AI8,AI9),AI9),""))</f>
      </c>
      <c r="BK6" s="35">
        <f>IF(BG6="los4",AI9,"")</f>
      </c>
      <c r="BL6" s="35"/>
      <c r="BM6" s="35">
        <f>IF(COUNTIF($AF$4:$AF$7,3)&gt;1,"O 3. místo ve skupině se bude losovat. ","")</f>
      </c>
      <c r="BN6" s="35" t="str">
        <f>IF(BN5="dohrano",HLOOKUP(1,AJ4:AM5,2,FALSE),"1A")</f>
        <v>FK Juniorsko</v>
      </c>
      <c r="BO6" s="35"/>
      <c r="BP6" s="35">
        <f>IF(BN5="dohrano",CHOOSE(MATCH(BN6,J6:J9,0),(CHOOSE(MATCH(BP5,J6:J9,0),K6,O6,S6,W6)),(CHOOSE(MATCH(BP5,J6:J9,0),K7,O7,S7,W7)),(CHOOSE(MATCH(BP5,J6:J9,0),K8,O8,S8,W8)),(CHOOSE(MATCH(BP5,J6:J9,0),K9,O9,S9,W9))),"")</f>
        <v>1</v>
      </c>
      <c r="BQ6" s="35">
        <f>IF(BN5="dohrano",CHOOSE(MATCH(BN6,J6:J9,0),(CHOOSE(MATCH(BQ5,J6:J9,0),K6,O6,S6,W6)),(CHOOSE(MATCH(BQ5,J6:J9,0),K7,O7,S7,W7)),(CHOOSE(MATCH(BQ5,J6:J9,0),K8,O8,S8,W8)),(CHOOSE(MATCH(BQ5,J6:J9,0),K9,O9,S9,W9))),"")</f>
        <v>6</v>
      </c>
      <c r="BR6" s="35">
        <f>IF(BN5="dohrano",CHOOSE(MATCH(BN6,J6:J9,0),(CHOOSE(MATCH(BR5,J6:J9,0),K6,O6,S6,W6)),(CHOOSE(MATCH(BR5,J6:J9,0),K7,O7,S7,W7)),(CHOOSE(MATCH(BR5,J6:J9,0),K8,O8,S8,W8)),(CHOOSE(MATCH(BR5,J6:J9,0),K9,O9,S9,W9))),"")</f>
        <v>3</v>
      </c>
    </row>
    <row r="7" spans="2:70" ht="19.5" customHeight="1">
      <c r="B7" s="51" t="str">
        <f>Týmy!$B$5</f>
        <v>FK Juniorsko</v>
      </c>
      <c r="C7" s="33">
        <f>$S$7</f>
        <v>3</v>
      </c>
      <c r="D7" s="34" t="s">
        <v>1</v>
      </c>
      <c r="E7" s="32">
        <f>$U$7</f>
        <v>0</v>
      </c>
      <c r="F7" s="33" t="str">
        <f>Týmy!$B$6</f>
        <v>Hyeny</v>
      </c>
      <c r="G7" s="33">
        <f t="shared" si="0"/>
        <v>3</v>
      </c>
      <c r="H7" s="52">
        <f t="shared" si="1"/>
        <v>0</v>
      </c>
      <c r="J7" s="86" t="str">
        <f>Týmy!$B$5</f>
        <v>FK Juniorsko</v>
      </c>
      <c r="K7" s="14">
        <f>$Q$6</f>
        <v>1</v>
      </c>
      <c r="L7" s="12" t="s">
        <v>1</v>
      </c>
      <c r="M7" s="13">
        <f>$O$6</f>
        <v>1</v>
      </c>
      <c r="N7" s="31">
        <f>IF(COUNTBLANK(K7:M7)=0,IF(K7&lt;M7,0,IF(K7=M7,1,3)),"")</f>
        <v>1</v>
      </c>
      <c r="O7" s="254" t="s">
        <v>39</v>
      </c>
      <c r="P7" s="255"/>
      <c r="Q7" s="256"/>
      <c r="R7" s="30"/>
      <c r="S7" s="14">
        <f>IF(ISBLANK(Výsledky!E7),"",Výsledky!E7)</f>
        <v>3</v>
      </c>
      <c r="T7" s="12" t="s">
        <v>1</v>
      </c>
      <c r="U7" s="13">
        <f>IF(ISBLANK(Výsledky!G7),"",Výsledky!G7)</f>
        <v>0</v>
      </c>
      <c r="V7" s="31">
        <f>IF(COUNTBLANK(S7:U7)=0,IF(S7&lt;U7,0,IF(S7=U7,1,3)),"")</f>
        <v>3</v>
      </c>
      <c r="W7" s="14">
        <f>IF(ISBLANK(Výsledky!E5),"",Výsledky!E5)</f>
        <v>6</v>
      </c>
      <c r="X7" s="12" t="s">
        <v>1</v>
      </c>
      <c r="Y7" s="13">
        <f>IF(ISBLANK(Výsledky!G5),"",Výsledky!G5)</f>
        <v>2</v>
      </c>
      <c r="Z7" s="31">
        <f>IF(COUNTBLANK(W7:Y7)=0,IF(W7&lt;Y7,0,IF(W7=Y7,1,3)),"")</f>
        <v>3</v>
      </c>
      <c r="AA7" s="43">
        <f>SUM(K7,S7,W7)</f>
        <v>10</v>
      </c>
      <c r="AB7" s="10" t="s">
        <v>1</v>
      </c>
      <c r="AC7" s="44">
        <f>SUM(M7,U7,Y7)</f>
        <v>3</v>
      </c>
      <c r="AD7" s="37">
        <f>SUM(H4+G7+G8)</f>
        <v>7</v>
      </c>
      <c r="AE7" s="38">
        <f>SUM(AA7-AC7)</f>
        <v>7</v>
      </c>
      <c r="AF7" s="87">
        <f>IF((F2=12),"",AH7)</f>
        <v>1</v>
      </c>
      <c r="AH7" s="36">
        <f>RANK(AW7,AW6:AW9)</f>
        <v>1</v>
      </c>
      <c r="AI7" s="35" t="str">
        <f>J7</f>
        <v>FK Juniorsko</v>
      </c>
      <c r="AJ7" s="35"/>
      <c r="AK7" s="35"/>
      <c r="AL7" s="35"/>
      <c r="AM7" s="35"/>
      <c r="AN7" s="35">
        <f>AD7</f>
        <v>7</v>
      </c>
      <c r="AO7" s="35">
        <f>SUM(IF(AN6=AN7,N7,0),IF(AN8=AN7,V7,0),IF(AN9=AN7,Z7,0))</f>
        <v>0</v>
      </c>
      <c r="AP7" s="35">
        <f>AQ7-AR7</f>
        <v>0</v>
      </c>
      <c r="AQ7" s="35">
        <f>SUM(IF(AN6=AN7,K7,0),IF(AN8=AN7,S7,0),IF(AN9=AN7,W7,0))</f>
        <v>0</v>
      </c>
      <c r="AR7" s="35">
        <f>SUM(IF(AN6=AN7,M7,0),IF(AN8=AN7,U7,0),IF(AN9=AN7,Y7,0))</f>
        <v>0</v>
      </c>
      <c r="AS7" s="35">
        <f>AE7</f>
        <v>7</v>
      </c>
      <c r="AT7" s="35">
        <f>AA7</f>
        <v>10</v>
      </c>
      <c r="AU7" s="35">
        <f>IF(AC7&gt;0,AA7/AC7,IF(AND(AA7&gt;0,AC7=0),90,0))</f>
        <v>3.3333333333333335</v>
      </c>
      <c r="AV7" s="35">
        <f>IF(F4&gt;0,0,IF('[1]program'!I45=AI7,0.5,IF('[1]program'!I46=AI7,0.4,IF('[1]program'!I47=AI7,0.3,0))))</f>
        <v>0</v>
      </c>
      <c r="AW7" s="35">
        <f>1000000000*AN7+100000000*AO7+1000000*AP7+10000*AQ7+100*AS7+AT7+AV7</f>
        <v>7000000710</v>
      </c>
      <c r="AX7" s="35">
        <f>10000*AN7+100*AS7+AU7</f>
        <v>70703.33333333333</v>
      </c>
      <c r="AY7" s="35">
        <f>RANK(AX7,AX6:AX9)</f>
        <v>1</v>
      </c>
      <c r="AZ7" s="35"/>
      <c r="BA7" s="35" t="str">
        <f>IF(AH7=1,AI7,"")</f>
        <v>FK Juniorsko</v>
      </c>
      <c r="BB7" s="35">
        <f>IF(AH7=2,AI7,"")</f>
      </c>
      <c r="BC7" s="35">
        <f>IF(AH7=3,AI7,"")</f>
      </c>
      <c r="BD7" s="35">
        <f>IF(AH7=4,AI7,"")</f>
      </c>
      <c r="BE7" s="35"/>
      <c r="BF7" s="35" t="s">
        <v>60</v>
      </c>
      <c r="BG7" s="35" t="str">
        <f>IF(F2=0,IF(COUNTIF(AH6:AH9,2)=1,VLOOKUP(2,AH6:AI9,2,0),IF(COUNTIF(AH6:AH9,2)=0,"",IF(COUNTIF(AH6:AH9,2)=2,"los2","los3"))),"")</f>
        <v>Gamblers Juniors</v>
      </c>
      <c r="BH7" s="35">
        <f>IF(OR(BG7="los2",BG7="los3"),IF(AH6=2,BB6,IF(AH7=2,BB7,IF(AH8=2,BB8,""))),"")</f>
      </c>
      <c r="BI7" s="35">
        <f>IF(OR(BG7="los2",BG7="los3"),IF(BH7=BB6,IF(AH7=2,BB7,IF(AH8=2,BB8,IF(AH9=2,BB9,""))),IF(BH7=BB7,IF(AH8=2,BB8,IF(AH9=2,BB9,"")),IF(BH7=BB8,IF(AH9=2,BB9,""),""))),"")</f>
      </c>
      <c r="BJ7" s="35">
        <f>IF(BG7="los3",IF(BH7=BB6,IF(BI7=BB7,IF(AH8=2,BB8,IF(AH9=2,BB9,"")),IF(BI7=BB8,BB9,"")),IF(BH7=BB7,IF(AH9=2,BB9,""),"")),"")</f>
      </c>
      <c r="BK7" s="35"/>
      <c r="BL7" s="35"/>
      <c r="BM7" s="35"/>
      <c r="BN7" s="35" t="str">
        <f>IF(BN5="dohrano",HLOOKUP(2,AJ4:AM5,2,FALSE),"2A")</f>
        <v>Gamblers Juniors</v>
      </c>
      <c r="BO7" s="35">
        <f>IF(BN5="dohrano",CHOOSE(MATCH(BN7,J6:J9,0),(CHOOSE(MATCH(BO5,J6:J9,0),K6,O6,S6,W6)),(CHOOSE(MATCH(BO5,J6:J9,0),K7,O7,S7,W7)),(CHOOSE(MATCH(BO5,J6:J9,0),K8,O8,S8,W8)),(CHOOSE(MATCH(BO5,J6:J9,0),K9,O9,S9,W9))),"")</f>
        <v>1</v>
      </c>
      <c r="BP7" s="35"/>
      <c r="BQ7" s="35">
        <f>IF(BN5="dohrano",CHOOSE(MATCH(BN7,J6:J9,0),(CHOOSE(MATCH(BQ5,J6:J9,0),K6,O6,S6,W6)),(CHOOSE(MATCH(BQ5,J6:J9,0),K7,O7,S7,W7)),(CHOOSE(MATCH(BQ5,J6:J9,0),K8,O8,S8,W8)),(CHOOSE(MATCH(BQ5,J6:J9,0),K9,O9,S9,W9))),"")</f>
        <v>5</v>
      </c>
      <c r="BR7" s="35">
        <f>IF(BN5="dohrano",CHOOSE(MATCH(BN7,J6:J9,0),(CHOOSE(MATCH(BR5,J6:J9,0),K6,O6,S6,W6)),(CHOOSE(MATCH(BR5,J6:J9,0),K7,O7,S7,W7)),(CHOOSE(MATCH(BR5,J6:J9,0),K8,O8,S8,W8)),(CHOOSE(MATCH(BR5,J6:J9,0),K9,O9,S9,W9))),"")</f>
        <v>0</v>
      </c>
    </row>
    <row r="8" spans="2:70" ht="19.5" customHeight="1">
      <c r="B8" s="51" t="str">
        <f>Týmy!$B$5</f>
        <v>FK Juniorsko</v>
      </c>
      <c r="C8" s="33">
        <f>$W$7</f>
        <v>6</v>
      </c>
      <c r="D8" s="34" t="s">
        <v>1</v>
      </c>
      <c r="E8" s="32">
        <f>$Y$7</f>
        <v>2</v>
      </c>
      <c r="F8" s="33" t="str">
        <f>Týmy!$B$7</f>
        <v>Alergismus</v>
      </c>
      <c r="G8" s="33">
        <f t="shared" si="0"/>
        <v>3</v>
      </c>
      <c r="H8" s="52">
        <f t="shared" si="1"/>
        <v>0</v>
      </c>
      <c r="J8" s="86" t="str">
        <f>Týmy!$B$6</f>
        <v>Hyeny</v>
      </c>
      <c r="K8" s="14">
        <f>$U$6</f>
        <v>0</v>
      </c>
      <c r="L8" s="12" t="s">
        <v>1</v>
      </c>
      <c r="M8" s="13">
        <f>$S$6</f>
        <v>0</v>
      </c>
      <c r="N8" s="31">
        <f>IF(COUNTBLANK(K8:M8)=0,IF(K8&lt;M8,0,IF(K8=M8,1,3)),"")</f>
        <v>1</v>
      </c>
      <c r="O8" s="14">
        <f>$U$7</f>
        <v>0</v>
      </c>
      <c r="P8" s="12" t="s">
        <v>1</v>
      </c>
      <c r="Q8" s="13">
        <f>$S$7</f>
        <v>3</v>
      </c>
      <c r="R8" s="31">
        <f>IF(COUNTBLANK(O8:Q8)=0,IF(O8&lt;Q8,0,IF(O8=Q8,1,3)),"")</f>
        <v>0</v>
      </c>
      <c r="S8" s="254" t="s">
        <v>39</v>
      </c>
      <c r="T8" s="255"/>
      <c r="U8" s="256"/>
      <c r="V8" s="30"/>
      <c r="W8" s="14">
        <f>IF(ISBLANK(Výsledky!E3),"",Výsledky!E3)</f>
        <v>3</v>
      </c>
      <c r="X8" s="12" t="s">
        <v>1</v>
      </c>
      <c r="Y8" s="13">
        <f>IF(ISBLANK(Výsledky!G3),"",Výsledky!G3)</f>
        <v>5</v>
      </c>
      <c r="Z8" s="31">
        <f>IF(COUNTBLANK(W8:Y8)=0,IF(W8&lt;Y8,0,IF(W8=Y8,1,3)),"")</f>
        <v>0</v>
      </c>
      <c r="AA8" s="43">
        <f>SUM(K8,O8,W8)</f>
        <v>3</v>
      </c>
      <c r="AB8" s="10" t="s">
        <v>1</v>
      </c>
      <c r="AC8" s="44">
        <f>SUM(M8,Q8,Y8)</f>
        <v>8</v>
      </c>
      <c r="AD8" s="37">
        <f>SUM(G9+H5+H7)</f>
        <v>1</v>
      </c>
      <c r="AE8" s="38">
        <f>SUM(AA8-AC8)</f>
        <v>-5</v>
      </c>
      <c r="AF8" s="87">
        <f>IF((F2=12),"",AH8)</f>
        <v>4</v>
      </c>
      <c r="AH8" s="36">
        <f>RANK(AW8,AW6:AW9)</f>
        <v>4</v>
      </c>
      <c r="AI8" s="35" t="str">
        <f>J8</f>
        <v>Hyeny</v>
      </c>
      <c r="AJ8" s="35"/>
      <c r="AK8" s="35"/>
      <c r="AL8" s="35"/>
      <c r="AM8" s="35"/>
      <c r="AN8" s="35">
        <f>AD8</f>
        <v>1</v>
      </c>
      <c r="AO8" s="35">
        <f>SUM(IF(AN6=AN8,N8,0),IF(AN7=AN8,R8,0),IF(AN9=AN8,Z8,0))</f>
        <v>0</v>
      </c>
      <c r="AP8" s="35">
        <f>AQ8-AR8</f>
        <v>0</v>
      </c>
      <c r="AQ8" s="35">
        <f>SUM(IF(AN6=AN8,K8,0),IF(AN7=AN8,O8,0),IF(AN9=AN8,W8,0))</f>
        <v>0</v>
      </c>
      <c r="AR8" s="35">
        <f>SUM(IF(AN6=AN8,M8,0),IF(AN7=AN8,Q8,0),IF(AN9=AN8,Y8,0))</f>
        <v>0</v>
      </c>
      <c r="AS8" s="35">
        <f>AE8</f>
        <v>-5</v>
      </c>
      <c r="AT8" s="35">
        <f>AA8</f>
        <v>3</v>
      </c>
      <c r="AU8" s="35">
        <f>IF(AC8&gt;0,AA8/AC8,IF(AND(AA8&gt;0,AC8=0),90,0))</f>
        <v>0.375</v>
      </c>
      <c r="AV8" s="35">
        <f>IF(F4&gt;0,0,IF('[1]program'!I45=AI8,0.5,IF('[1]program'!I46=AI8,0.4,IF('[1]program'!I47=AI8,0.3,0))))</f>
        <v>0</v>
      </c>
      <c r="AW8" s="35">
        <f>1000000000*AN8+100000000*AO8+1000000*AP8+10000*AQ8+100*AS8+AT8+AV8</f>
        <v>999999503</v>
      </c>
      <c r="AX8" s="35">
        <f>10000*AN8+100*AS8+AU8</f>
        <v>9500.375</v>
      </c>
      <c r="AY8" s="35">
        <f>RANK(AX8,AX6:AX9)</f>
        <v>4</v>
      </c>
      <c r="AZ8" s="35"/>
      <c r="BA8" s="35">
        <f>IF(AH8=1,AI8,"")</f>
      </c>
      <c r="BB8" s="35">
        <f>IF(AH8=2,AI8,"")</f>
      </c>
      <c r="BC8" s="35">
        <f>IF(AH8=3,AI8,"")</f>
      </c>
      <c r="BD8" s="35" t="str">
        <f>IF(AH8=4,AI8,"")</f>
        <v>Hyeny</v>
      </c>
      <c r="BE8" s="35"/>
      <c r="BF8" s="35" t="s">
        <v>61</v>
      </c>
      <c r="BG8" s="35" t="str">
        <f>IF(F2=0,IF(COUNTIF(AH6:AH9,3)=1,VLOOKUP(3,AH6:AI9,2,0),IF(COUNTIF(AH6:AH9,3)=2,"los2","")),"")</f>
        <v>Alergismus</v>
      </c>
      <c r="BH8" s="35">
        <f>IF(BG8="los2",IF(AH6=3,BC6,IF(AH7=3,BC7,IF(AH8=3,BC8,""))),"")</f>
      </c>
      <c r="BI8" s="35">
        <f>IF(BG8="los2",IF(BH8=BC6,IF(AH7=3,BC7,IF(AH8=3,BC8,IF(AH9=3,BC9,""))),IF(BH8=BC7,IF(AH8=3,BC8,IF(AH9=3,BC9,"")),IF(BH8=BC8,IF(AH9=3,BC9,""),""))),"")</f>
      </c>
      <c r="BJ8" s="35"/>
      <c r="BK8" s="35"/>
      <c r="BL8" s="35"/>
      <c r="BM8" s="35"/>
      <c r="BN8" s="35" t="str">
        <f>IF(BN5="dohrano",HLOOKUP(3,AJ4:AM5,2,FALSE),"3A")</f>
        <v>Alergismus</v>
      </c>
      <c r="BO8" s="35">
        <f>IF(BN5="dohrano",CHOOSE(MATCH(BN8,J6:J9,0),(CHOOSE(MATCH(BO5,J6:J9,0),K6,O6,S6,W6)),(CHOOSE(MATCH(BO5,J6:J9,0),K7,O7,S7,W7)),(CHOOSE(MATCH(BO5,J6:J9,0),K8,O8,S8,W8)),(CHOOSE(MATCH(BO5,J6:J9,0),K9,O9,S9,W9))),"")</f>
        <v>2</v>
      </c>
      <c r="BP8" s="35">
        <f>IF(BN5="dohrano",CHOOSE(MATCH(BN8,J6:J9,0),(CHOOSE(MATCH(BP5,J6:J9,0),K6,O6,S6,W6)),(CHOOSE(MATCH(BP5,J6:J9,0),K7,O7,S7,W7)),(CHOOSE(MATCH(BP5,J6:J9,0),K8,O8,S8,W8)),(CHOOSE(MATCH(BP5,J6:J9,0),K9,O9,S9,W9))),"")</f>
        <v>2</v>
      </c>
      <c r="BQ8" s="35"/>
      <c r="BR8" s="35">
        <f>IF(BN5="dohrano",CHOOSE(MATCH(BN8,J6:J9,0),(CHOOSE(MATCH(BR5,J6:J9,0),K6,O6,S6,W6)),(CHOOSE(MATCH(BR5,J6:J9,0),K7,O7,S7,W7)),(CHOOSE(MATCH(BR5,J6:J9,0),K8,O8,S8,W8)),(CHOOSE(MATCH(BR5,J6:J9,0),K9,O9,S9,W9))),"")</f>
        <v>5</v>
      </c>
    </row>
    <row r="9" spans="2:70" ht="19.5" customHeight="1" thickBot="1">
      <c r="B9" s="53" t="str">
        <f>Týmy!$B$6</f>
        <v>Hyeny</v>
      </c>
      <c r="C9" s="54">
        <f>$W$8</f>
        <v>3</v>
      </c>
      <c r="D9" s="55" t="s">
        <v>1</v>
      </c>
      <c r="E9" s="56">
        <f>$Y$8</f>
        <v>5</v>
      </c>
      <c r="F9" s="54" t="str">
        <f>Týmy!$B$7</f>
        <v>Alergismus</v>
      </c>
      <c r="G9" s="54">
        <f t="shared" si="0"/>
        <v>0</v>
      </c>
      <c r="H9" s="57">
        <f t="shared" si="1"/>
        <v>3</v>
      </c>
      <c r="J9" s="88" t="str">
        <f>Týmy!$B$7</f>
        <v>Alergismus</v>
      </c>
      <c r="K9" s="89">
        <f>$Y$6</f>
        <v>2</v>
      </c>
      <c r="L9" s="90" t="s">
        <v>1</v>
      </c>
      <c r="M9" s="91">
        <f>$W$6</f>
        <v>5</v>
      </c>
      <c r="N9" s="92">
        <f>IF(COUNTBLANK(K9:M9)=0,IF(K9&lt;M9,0,IF(K9=M9,1,3)),"")</f>
        <v>0</v>
      </c>
      <c r="O9" s="89">
        <f>$Y$7</f>
        <v>2</v>
      </c>
      <c r="P9" s="90" t="s">
        <v>1</v>
      </c>
      <c r="Q9" s="91">
        <f>$W$7</f>
        <v>6</v>
      </c>
      <c r="R9" s="92">
        <f>IF(COUNTBLANK(O9:Q9)=0,IF(O9&lt;Q9,0,IF(O9=Q9,1,3)),"")</f>
        <v>0</v>
      </c>
      <c r="S9" s="89">
        <f>$Y$8</f>
        <v>5</v>
      </c>
      <c r="T9" s="90" t="s">
        <v>1</v>
      </c>
      <c r="U9" s="91">
        <f>$W$8</f>
        <v>3</v>
      </c>
      <c r="V9" s="92">
        <f>IF(COUNTBLANK(S9:U9)=0,IF(S9&lt;U9,0,IF(S9=U9,1,3)),"")</f>
        <v>3</v>
      </c>
      <c r="W9" s="260" t="s">
        <v>39</v>
      </c>
      <c r="X9" s="261"/>
      <c r="Y9" s="262"/>
      <c r="Z9" s="93"/>
      <c r="AA9" s="94">
        <f>SUM(K9,O9,S9)</f>
        <v>9</v>
      </c>
      <c r="AB9" s="95" t="s">
        <v>1</v>
      </c>
      <c r="AC9" s="96">
        <f>SUM(M9,Q9,U9)</f>
        <v>14</v>
      </c>
      <c r="AD9" s="97">
        <f>SUM(H6+H8+H9)</f>
        <v>3</v>
      </c>
      <c r="AE9" s="98">
        <f>SUM(AA9-AC9)</f>
        <v>-5</v>
      </c>
      <c r="AF9" s="99">
        <f>IF((F2=12),"",AH9)</f>
        <v>3</v>
      </c>
      <c r="AH9" s="36">
        <f>RANK(AW9,AW6:AW9)</f>
        <v>3</v>
      </c>
      <c r="AI9" s="35" t="str">
        <f>J9</f>
        <v>Alergismus</v>
      </c>
      <c r="AJ9" s="35"/>
      <c r="AK9" s="35"/>
      <c r="AL9" s="35"/>
      <c r="AM9" s="35"/>
      <c r="AN9" s="35">
        <f>AD9</f>
        <v>3</v>
      </c>
      <c r="AO9" s="35">
        <f>SUM(IF(AN6=AN9,N9,0),IF(AN7=AN9,R9,0),IF(AN8=AN9,V9,0))</f>
        <v>0</v>
      </c>
      <c r="AP9" s="35">
        <f>AQ9-AR9</f>
        <v>0</v>
      </c>
      <c r="AQ9" s="35">
        <f>SUM(IF(AN6=AN9,K9,0),IF(AN7=AN9,O9,0),IF(AN8=AN9,S9,0))</f>
        <v>0</v>
      </c>
      <c r="AR9" s="35">
        <f>SUM(IF(AN6=AN9,M9,0),IF(AN7=AN9,Q9,0),IF(AN8=AN9,U9,0))</f>
        <v>0</v>
      </c>
      <c r="AS9" s="35">
        <f>AE9</f>
        <v>-5</v>
      </c>
      <c r="AT9" s="35">
        <f>AA9</f>
        <v>9</v>
      </c>
      <c r="AU9" s="35">
        <f>IF(AC9&gt;0,AA9/AC9,IF(AND(AA9&gt;0,AC9=0),90,0))</f>
        <v>0.6428571428571429</v>
      </c>
      <c r="AV9" s="35">
        <f>IF(F4&gt;0,0,IF('[1]program'!I45=AI9,0.5,IF('[1]program'!I46=AI9,0.4,IF('[1]program'!I47=AI9,0.3,0))))</f>
        <v>0</v>
      </c>
      <c r="AW9" s="35">
        <f>1000000000*AN9+100000000*AO9+1000000*AP9+10000*AQ9+100*AS9+AT9+AV9</f>
        <v>2999999509</v>
      </c>
      <c r="AX9" s="35">
        <f>10000*AN9+100*AS9+AU9</f>
        <v>29500.64285714286</v>
      </c>
      <c r="AY9" s="35">
        <f>RANK(AX9,AX6:AX9)</f>
        <v>3</v>
      </c>
      <c r="AZ9" s="35"/>
      <c r="BA9" s="35">
        <f>IF(AH9=1,AI9,"")</f>
      </c>
      <c r="BB9" s="35">
        <f>IF(AH9=2,AI9,"")</f>
      </c>
      <c r="BC9" s="35" t="str">
        <f>IF(AH9=3,AI9,"")</f>
        <v>Alergismus</v>
      </c>
      <c r="BD9" s="35">
        <f>IF(AH9=4,AI9,"")</f>
      </c>
      <c r="BE9" s="35"/>
      <c r="BF9" s="35" t="s">
        <v>62</v>
      </c>
      <c r="BG9" s="35" t="str">
        <f>IF(F2=0,IF(COUNTIF(AH6:AH9,4)=1,VLOOKUP(4,AH6:AI9,2,0),""),"")</f>
        <v>Hyeny</v>
      </c>
      <c r="BH9" s="35"/>
      <c r="BI9" s="35"/>
      <c r="BJ9" s="35"/>
      <c r="BK9" s="35"/>
      <c r="BL9" s="35"/>
      <c r="BM9" s="35"/>
      <c r="BN9" s="35" t="str">
        <f>IF(BN5="dohrano",HLOOKUP(4,AJ4:AM5,2,FALSE),"4A")</f>
        <v>Hyeny</v>
      </c>
      <c r="BO9" s="35">
        <f>IF(BN5="dohrano",CHOOSE(MATCH(BN9,J6:J9,0),(CHOOSE(MATCH(BO5,J6:J9,0),K6,O6,S6,W6)),(CHOOSE(MATCH(BO5,J6:J9,0),K7,O7,S7,W7)),(CHOOSE(MATCH(BO5,J6:J9,0),K8,O8,S8,W8)),(CHOOSE(MATCH(BO5,J6:J9,0),K9,O9,S9,W9))),"")</f>
        <v>0</v>
      </c>
      <c r="BP9" s="35">
        <f>IF(BN5="dohrano",CHOOSE(MATCH(BN9,J6:J9,0),(CHOOSE(MATCH(BP5,J6:J9,0),K6,O6,S6,W6)),(CHOOSE(MATCH(BP5,J6:J9,0),K7,O7,S7,W7)),(CHOOSE(MATCH(BP5,J6:J9,0),K8,O8,S8,W8)),(CHOOSE(MATCH(BP5,J6:J9,0),K9,O9,S9,W9))),"")</f>
        <v>0</v>
      </c>
      <c r="BQ9" s="35">
        <f>IF(BN5="dohrano",CHOOSE(MATCH(BN9,J6:J9,0),(CHOOSE(MATCH(BQ5,J6:J9,0),K6,O6,S6,W6)),(CHOOSE(MATCH(BQ5,J6:J9,0),K7,O7,S7,W7)),(CHOOSE(MATCH(BQ5,J6:J9,0),K8,O8,S8,W8)),(CHOOSE(MATCH(BQ5,J6:J9,0),K9,O9,S9,W9))),"")</f>
        <v>3</v>
      </c>
      <c r="BR9" s="35"/>
    </row>
    <row r="10" spans="2:8" ht="19.5" customHeight="1" hidden="1" thickTop="1">
      <c r="B10" s="45"/>
      <c r="C10" s="45"/>
      <c r="D10" s="45"/>
      <c r="E10" s="45"/>
      <c r="F10" s="45"/>
      <c r="G10" s="45"/>
      <c r="H10" s="45"/>
    </row>
    <row r="11" spans="2:8" ht="19.5" customHeight="1" hidden="1" thickBot="1">
      <c r="B11" s="45"/>
      <c r="C11" s="45"/>
      <c r="D11" s="45"/>
      <c r="E11" s="45"/>
      <c r="F11" s="45"/>
      <c r="G11" s="45"/>
      <c r="H11" s="45"/>
    </row>
    <row r="12" spans="2:8" ht="19.5" customHeight="1" hidden="1" thickTop="1">
      <c r="B12" s="266" t="s">
        <v>71</v>
      </c>
      <c r="C12" s="267"/>
      <c r="D12" s="58"/>
      <c r="E12" s="58"/>
      <c r="F12" s="49">
        <f>COUNTBLANK(C14:E19)</f>
        <v>0</v>
      </c>
      <c r="G12" s="58"/>
      <c r="H12" s="59"/>
    </row>
    <row r="13" spans="2:8" ht="19.5" customHeight="1" hidden="1">
      <c r="B13" s="60"/>
      <c r="C13" s="46"/>
      <c r="D13" s="46"/>
      <c r="E13" s="46"/>
      <c r="F13" s="46"/>
      <c r="G13" s="33" t="s">
        <v>64</v>
      </c>
      <c r="H13" s="52" t="s">
        <v>65</v>
      </c>
    </row>
    <row r="14" spans="2:70" ht="19.5" customHeight="1" thickBot="1" thickTop="1">
      <c r="B14" s="60" t="str">
        <f>Týmy!$B$8</f>
        <v>FCH Most</v>
      </c>
      <c r="C14" s="46">
        <f>$O$16</f>
        <v>0</v>
      </c>
      <c r="D14" s="34" t="s">
        <v>1</v>
      </c>
      <c r="E14" s="46">
        <f>$Q$16</f>
        <v>0</v>
      </c>
      <c r="F14" s="46" t="str">
        <f>Týmy!$B$9</f>
        <v>Inseminátors FC II.</v>
      </c>
      <c r="G14" s="33">
        <f aca="true" t="shared" si="2" ref="G14:G19">IF(COUNTBLANK(C14:E14)&gt;0,0,IF(C14&gt;E14,3,IF(C14=E14,1,0)))</f>
        <v>1</v>
      </c>
      <c r="H14" s="52">
        <f aca="true" t="shared" si="3" ref="H14:H19">IF(COUNTBLANK(C14:E14)&gt;0,0,IF(C14&lt;E14,3,IF(C14=E14,1,0)))</f>
        <v>1</v>
      </c>
      <c r="AH14" s="35"/>
      <c r="AI14" s="35"/>
      <c r="AJ14" s="35">
        <f>AF16</f>
        <v>3</v>
      </c>
      <c r="AK14" s="35">
        <f>AF17</f>
        <v>2</v>
      </c>
      <c r="AL14" s="35">
        <f>AF18</f>
        <v>4</v>
      </c>
      <c r="AM14" s="35">
        <f>AF19</f>
        <v>1</v>
      </c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>
        <f>IF(COUNTIF($AF$4:$AF$7,1)&gt;1,"O 1. místo ve skupině se bude losovat. ","")</f>
      </c>
      <c r="BN14" s="35"/>
      <c r="BO14" s="35"/>
      <c r="BP14" s="35"/>
      <c r="BQ14" s="35"/>
      <c r="BR14" s="35"/>
    </row>
    <row r="15" spans="2:70" ht="19.5" customHeight="1" thickTop="1">
      <c r="B15" s="60" t="str">
        <f>Týmy!$B$8</f>
        <v>FCH Most</v>
      </c>
      <c r="C15" s="46">
        <f>$S$16</f>
        <v>1</v>
      </c>
      <c r="D15" s="34" t="s">
        <v>1</v>
      </c>
      <c r="E15" s="46">
        <f>$U$16</f>
        <v>4</v>
      </c>
      <c r="F15" s="46" t="str">
        <f>Týmy!$B$10</f>
        <v>GMS Most</v>
      </c>
      <c r="G15" s="33">
        <f t="shared" si="2"/>
        <v>0</v>
      </c>
      <c r="H15" s="52">
        <f t="shared" si="3"/>
        <v>3</v>
      </c>
      <c r="J15" s="82" t="s">
        <v>40</v>
      </c>
      <c r="K15" s="257" t="str">
        <f>Týmy!$B$8</f>
        <v>FCH Most</v>
      </c>
      <c r="L15" s="258"/>
      <c r="M15" s="259"/>
      <c r="N15" s="16"/>
      <c r="O15" s="257" t="str">
        <f>Týmy!$B$9</f>
        <v>Inseminátors FC II.</v>
      </c>
      <c r="P15" s="258"/>
      <c r="Q15" s="259"/>
      <c r="R15" s="16"/>
      <c r="S15" s="257" t="str">
        <f>Týmy!$B$10</f>
        <v>GMS Most</v>
      </c>
      <c r="T15" s="258"/>
      <c r="U15" s="259"/>
      <c r="V15" s="16"/>
      <c r="W15" s="257" t="str">
        <f>Týmy!$B$11</f>
        <v>Paradise</v>
      </c>
      <c r="X15" s="258"/>
      <c r="Y15" s="259"/>
      <c r="Z15" s="16"/>
      <c r="AA15" s="257" t="s">
        <v>36</v>
      </c>
      <c r="AB15" s="258"/>
      <c r="AC15" s="259"/>
      <c r="AD15" s="84" t="s">
        <v>37</v>
      </c>
      <c r="AE15" s="83" t="s">
        <v>46</v>
      </c>
      <c r="AF15" s="85" t="s">
        <v>38</v>
      </c>
      <c r="AH15" s="35" t="s">
        <v>47</v>
      </c>
      <c r="AI15" s="35"/>
      <c r="AJ15" s="35" t="str">
        <f>K15</f>
        <v>FCH Most</v>
      </c>
      <c r="AK15" s="35" t="str">
        <f>O15</f>
        <v>Inseminátors FC II.</v>
      </c>
      <c r="AL15" s="35" t="str">
        <f>S15</f>
        <v>GMS Most</v>
      </c>
      <c r="AM15" s="35" t="str">
        <f>W15</f>
        <v>Paradise</v>
      </c>
      <c r="AN15" s="35" t="s">
        <v>45</v>
      </c>
      <c r="AO15" s="35" t="s">
        <v>48</v>
      </c>
      <c r="AP15" s="35" t="s">
        <v>49</v>
      </c>
      <c r="AQ15" s="35" t="s">
        <v>50</v>
      </c>
      <c r="AR15" s="35" t="s">
        <v>51</v>
      </c>
      <c r="AS15" s="35" t="s">
        <v>52</v>
      </c>
      <c r="AT15" s="35" t="s">
        <v>53</v>
      </c>
      <c r="AU15" s="35" t="s">
        <v>54</v>
      </c>
      <c r="AV15" s="35" t="s">
        <v>55</v>
      </c>
      <c r="AW15" s="35" t="s">
        <v>56</v>
      </c>
      <c r="AX15" s="35" t="s">
        <v>57</v>
      </c>
      <c r="AY15" s="35" t="s">
        <v>58</v>
      </c>
      <c r="AZ15" s="35"/>
      <c r="BA15" s="35" t="s">
        <v>59</v>
      </c>
      <c r="BB15" s="35" t="s">
        <v>60</v>
      </c>
      <c r="BC15" s="35" t="s">
        <v>61</v>
      </c>
      <c r="BD15" s="35" t="s">
        <v>62</v>
      </c>
      <c r="BE15" s="35"/>
      <c r="BF15" s="35"/>
      <c r="BG15" s="35"/>
      <c r="BH15" s="35"/>
      <c r="BI15" s="35"/>
      <c r="BJ15" s="35"/>
      <c r="BK15" s="35"/>
      <c r="BL15" s="35"/>
      <c r="BM15" s="35">
        <f>IF(COUNTIF($AF$4:$AF$7,2)&gt;1,"O 2. místo ve skupině se bude losovat. ","")</f>
      </c>
      <c r="BN15" s="35" t="str">
        <f>IF(OR((F12&gt;0),(COUNTBLANK(BM14:BM16)&lt;3)),"","dohrano")</f>
        <v>dohrano</v>
      </c>
      <c r="BO15" s="35" t="str">
        <f>BN16</f>
        <v>Paradise</v>
      </c>
      <c r="BP15" s="35" t="str">
        <f>BN17</f>
        <v>Inseminátors FC II.</v>
      </c>
      <c r="BQ15" s="35" t="str">
        <f>BN18</f>
        <v>FCH Most</v>
      </c>
      <c r="BR15" s="35" t="str">
        <f>BN19</f>
        <v>GMS Most</v>
      </c>
    </row>
    <row r="16" spans="2:70" ht="19.5" customHeight="1">
      <c r="B16" s="60" t="str">
        <f>Týmy!$B$8</f>
        <v>FCH Most</v>
      </c>
      <c r="C16" s="46">
        <f>$W$16</f>
        <v>1</v>
      </c>
      <c r="D16" s="34" t="s">
        <v>1</v>
      </c>
      <c r="E16" s="46">
        <f>$Y$16</f>
        <v>0</v>
      </c>
      <c r="F16" s="46" t="str">
        <f>Týmy!$B$11</f>
        <v>Paradise</v>
      </c>
      <c r="G16" s="33">
        <f t="shared" si="2"/>
        <v>3</v>
      </c>
      <c r="H16" s="52">
        <f t="shared" si="3"/>
        <v>0</v>
      </c>
      <c r="J16" s="86" t="str">
        <f>Týmy!$B$8</f>
        <v>FCH Most</v>
      </c>
      <c r="K16" s="254" t="s">
        <v>40</v>
      </c>
      <c r="L16" s="255"/>
      <c r="M16" s="256"/>
      <c r="N16" s="30"/>
      <c r="O16" s="14">
        <f>IF(ISBLANK(Výsledky!E9),"",Výsledky!E9)</f>
        <v>0</v>
      </c>
      <c r="P16" s="12" t="s">
        <v>1</v>
      </c>
      <c r="Q16" s="13">
        <f>IF(ISBLANK(Výsledky!G9),"",Výsledky!G9)</f>
        <v>0</v>
      </c>
      <c r="R16" s="31">
        <f>IF(COUNTBLANK(O16:Q16)=0,IF(O16&lt;Q16,0,IF(O16=Q16,1,3)),"")</f>
        <v>1</v>
      </c>
      <c r="S16" s="14">
        <f>IF(ISBLANK(Výsledky!E11),"",Výsledky!E11)</f>
        <v>1</v>
      </c>
      <c r="T16" s="12" t="s">
        <v>1</v>
      </c>
      <c r="U16" s="13">
        <f>IF(ISBLANK(Výsledky!G11),"",Výsledky!G11)</f>
        <v>4</v>
      </c>
      <c r="V16" s="31">
        <f>IF(COUNTBLANK(S16:U16)=0,IF(S16&lt;U16,0,IF(S16=U16,1,3)),"")</f>
        <v>0</v>
      </c>
      <c r="W16" s="14">
        <f>IF(ISBLANK(Výsledky!E13),"",Výsledky!E13)</f>
        <v>1</v>
      </c>
      <c r="X16" s="12" t="s">
        <v>1</v>
      </c>
      <c r="Y16" s="13">
        <f>IF(ISBLANK(Výsledky!G13),"",Výsledky!G13)</f>
        <v>0</v>
      </c>
      <c r="Z16" s="31">
        <f>IF(COUNTBLANK(W16:Y16)=0,IF(W16&lt;Y16,0,IF(W16=Y16,1,3)),"")</f>
        <v>3</v>
      </c>
      <c r="AA16" s="9">
        <f>SUM(O16,S16,W16)</f>
        <v>2</v>
      </c>
      <c r="AB16" s="10" t="s">
        <v>1</v>
      </c>
      <c r="AC16" s="11">
        <f>SUM(Q16,U16,Y16)</f>
        <v>4</v>
      </c>
      <c r="AD16" s="37">
        <f>SUM(G14+G15+G16)</f>
        <v>4</v>
      </c>
      <c r="AE16" s="38">
        <f>SUM(AA16-AC16)</f>
        <v>-2</v>
      </c>
      <c r="AF16" s="87">
        <f>IF((F12=12),"",AH16)</f>
        <v>3</v>
      </c>
      <c r="AH16" s="36">
        <f>RANK(AW16,AW16:AW19)</f>
        <v>3</v>
      </c>
      <c r="AI16" s="35" t="str">
        <f>J16</f>
        <v>FCH Most</v>
      </c>
      <c r="AJ16" s="35"/>
      <c r="AK16" s="35"/>
      <c r="AL16" s="35"/>
      <c r="AM16" s="35"/>
      <c r="AN16" s="35">
        <f>AD16</f>
        <v>4</v>
      </c>
      <c r="AO16" s="35">
        <f>SUM(IF(AN17=AN16,R16,0),IF(AN18=AN16,V16,0),IF(AN19=AN16,Z16,0))</f>
        <v>1</v>
      </c>
      <c r="AP16" s="35">
        <f>AQ16-AR16</f>
        <v>0</v>
      </c>
      <c r="AQ16" s="35">
        <f>SUM(IF(AN17=AN16,O16,0),IF(AN18=AN16,S16,0),IF(AN19=AN16,W16,0))</f>
        <v>0</v>
      </c>
      <c r="AR16" s="35">
        <f>SUM(IF(AN17=AN16,Q16,0),IF(AN18=AN16,U16,0),IF(AN19=AN16,Y16,0))</f>
        <v>0</v>
      </c>
      <c r="AS16" s="35">
        <f>AE16</f>
        <v>-2</v>
      </c>
      <c r="AT16" s="35">
        <f>AA16</f>
        <v>2</v>
      </c>
      <c r="AU16" s="35">
        <f>IF(AC16&gt;0,AA16/AC16,IF(AND(AA16&gt;0,AC16=0),90,0))</f>
        <v>0.5</v>
      </c>
      <c r="AV16" s="35">
        <f>IF(F14&gt;0,0,IF('[1]program'!I55=AI16,0.5,IF('[1]program'!I56=AI16,0.4,IF('[1]program'!I57=AI16,0.3,0))))</f>
        <v>0</v>
      </c>
      <c r="AW16" s="35">
        <f>1000000000*AN16+100000000*AO16+1000000*AP16+10000*AQ16+100*AS16+AT16+AV16</f>
        <v>4099999802</v>
      </c>
      <c r="AX16" s="35">
        <f>10000*AN16+100*AS16+AU16</f>
        <v>39800.5</v>
      </c>
      <c r="AY16" s="35">
        <f>RANK(AX16,AX16:AX19)</f>
        <v>3</v>
      </c>
      <c r="AZ16" s="35"/>
      <c r="BA16" s="35">
        <f>IF(AH16=1,AI16,"")</f>
      </c>
      <c r="BB16" s="35">
        <f>IF(AH16=2,AI16,"")</f>
      </c>
      <c r="BC16" s="35" t="str">
        <f>IF(AH16=3,AI16,"")</f>
        <v>FCH Most</v>
      </c>
      <c r="BD16" s="35">
        <f>IF(AH16=4,AI16,"")</f>
      </c>
      <c r="BE16" s="35"/>
      <c r="BF16" s="35" t="s">
        <v>59</v>
      </c>
      <c r="BG16" s="35" t="str">
        <f>IF(F12=0,IF(COUNTIF(AH16:AH19,1)=1,VLOOKUP(1,AH16:AI19,2,0),IF(COUNTIF(AH16:AH19,1)=2,"los2",IF(COUNTIF(AH16:AH19,1)=3,"los3","los4"))),"")</f>
        <v>Paradise</v>
      </c>
      <c r="BH16" s="35">
        <f>IF(BG16="los4",BA16,IF(OR(BG16="los2",BG16="los3"),IF(AH16=1,BA16,IF(AH17=1,BA17,IF(AH18=1,BA18,""))),""))</f>
      </c>
      <c r="BI16" s="35">
        <f>IF(OR(BG16="los2",BG16="los3",BG16="los4"),IF(BH16=AI16,IF(BA17=AI17,AI17,IF(BA18=AI18,AI18,AI19)),IF(BH16=AI17,IF(BA18=AI18,AI18,AI19),IF(BH16=AI18,AI19,""))),"")</f>
      </c>
      <c r="BJ16" s="35">
        <f>IF(BG16="los4",AI18,IF(BG16="los3",IF(BI16=AI17,IF(BA18=AI18,AI18,AI19),AI19),""))</f>
      </c>
      <c r="BK16" s="35">
        <f>IF(BG16="los4",AI19,"")</f>
      </c>
      <c r="BL16" s="35"/>
      <c r="BM16" s="35">
        <f>IF(COUNTIF($AF$4:$AF$7,3)&gt;1,"O 3. místo ve skupině se bude losovat. ","")</f>
      </c>
      <c r="BN16" s="35" t="str">
        <f>IF(BN15="dohrano",HLOOKUP(1,AJ14:AM15,2,FALSE),"1B")</f>
        <v>Paradise</v>
      </c>
      <c r="BO16" s="35"/>
      <c r="BP16" s="35">
        <f>IF(BN15="dohrano",CHOOSE(MATCH(BN16,J16:J19,0),(CHOOSE(MATCH(BP15,J16:J19,0),K16,O16,S16,W16)),(CHOOSE(MATCH(BP15,J16:J19,0),K17,O17,S17,W17)),(CHOOSE(MATCH(BP15,J16:J19,0),K18,O18,S18,W18)),(CHOOSE(MATCH(BP15,J16:J19,0),K19,O19,S19,W19))),"")</f>
        <v>3</v>
      </c>
      <c r="BQ16" s="35">
        <f>IF(BN15="dohrano",CHOOSE(MATCH(BN16,J16:J19,0),(CHOOSE(MATCH(BQ15,J16:J19,0),K16,O16,S16,W16)),(CHOOSE(MATCH(BQ15,J16:J19,0),K17,O17,S17,W17)),(CHOOSE(MATCH(BQ15,J16:J19,0),K18,O18,S18,W18)),(CHOOSE(MATCH(BQ15,J16:J19,0),K19,O19,S19,W19))),"")</f>
        <v>0</v>
      </c>
      <c r="BR16" s="35">
        <f>IF(BN15="dohrano",CHOOSE(MATCH(BN16,J16:J19,0),(CHOOSE(MATCH(BR15,J16:J19,0),K16,O16,S16,W16)),(CHOOSE(MATCH(BR15,J16:J19,0),K17,O17,S17,W17)),(CHOOSE(MATCH(BR15,J16:J19,0),K18,O18,S18,W18)),(CHOOSE(MATCH(BR15,J16:J19,0),K19,O19,S19,W19))),"")</f>
        <v>3</v>
      </c>
    </row>
    <row r="17" spans="2:70" ht="19.5" customHeight="1">
      <c r="B17" s="60" t="str">
        <f>Týmy!$B$9</f>
        <v>Inseminátors FC II.</v>
      </c>
      <c r="C17" s="46">
        <f>$S$17</f>
        <v>1</v>
      </c>
      <c r="D17" s="34" t="s">
        <v>1</v>
      </c>
      <c r="E17" s="46">
        <f>$U$17</f>
        <v>0</v>
      </c>
      <c r="F17" s="46" t="str">
        <f>Týmy!$B$10</f>
        <v>GMS Most</v>
      </c>
      <c r="G17" s="33">
        <f t="shared" si="2"/>
        <v>3</v>
      </c>
      <c r="H17" s="52">
        <f t="shared" si="3"/>
        <v>0</v>
      </c>
      <c r="J17" s="86" t="str">
        <f>Týmy!$B$9</f>
        <v>Inseminátors FC II.</v>
      </c>
      <c r="K17" s="14">
        <f>$Q$16</f>
        <v>0</v>
      </c>
      <c r="L17" s="12" t="s">
        <v>1</v>
      </c>
      <c r="M17" s="13">
        <f>$O$16</f>
        <v>0</v>
      </c>
      <c r="N17" s="31">
        <f>IF(COUNTBLANK(K17:M17)=0,IF(K17&lt;M17,0,IF(K17=M17,1,3)),"")</f>
        <v>1</v>
      </c>
      <c r="O17" s="254" t="s">
        <v>40</v>
      </c>
      <c r="P17" s="255"/>
      <c r="Q17" s="256"/>
      <c r="R17" s="30"/>
      <c r="S17" s="14">
        <f>IF(ISBLANK(Výsledky!E14),"",Výsledky!E14)</f>
        <v>1</v>
      </c>
      <c r="T17" s="12" t="s">
        <v>1</v>
      </c>
      <c r="U17" s="13">
        <f>IF(ISBLANK(Výsledky!G14),"",Výsledky!G14)</f>
        <v>0</v>
      </c>
      <c r="V17" s="31">
        <f>IF(COUNTBLANK(S17:U17)=0,IF(S17&lt;U17,0,IF(S17=U17,1,3)),"")</f>
        <v>3</v>
      </c>
      <c r="W17" s="14">
        <f>IF(ISBLANK(Výsledky!E12),"",Výsledky!E12)</f>
        <v>1</v>
      </c>
      <c r="X17" s="12" t="s">
        <v>1</v>
      </c>
      <c r="Y17" s="13">
        <f>IF(ISBLANK(Výsledky!G12),"",Výsledky!G12)</f>
        <v>3</v>
      </c>
      <c r="Z17" s="31">
        <f>IF(COUNTBLANK(W17:Y17)=0,IF(W17&lt;Y17,0,IF(W17=Y17,1,3)),"")</f>
        <v>0</v>
      </c>
      <c r="AA17" s="43">
        <f>SUM(K17,S17,W17)</f>
        <v>2</v>
      </c>
      <c r="AB17" s="10" t="s">
        <v>1</v>
      </c>
      <c r="AC17" s="44">
        <f>SUM(M17,U17,Y17)</f>
        <v>3</v>
      </c>
      <c r="AD17" s="37">
        <f>SUM(H14+G17+G18)</f>
        <v>4</v>
      </c>
      <c r="AE17" s="38">
        <f>SUM(AA17-AC17)</f>
        <v>-1</v>
      </c>
      <c r="AF17" s="87">
        <f>IF((F12=12),"",AH17)</f>
        <v>2</v>
      </c>
      <c r="AH17" s="36">
        <f>RANK(AW17,AW16:AW19)</f>
        <v>2</v>
      </c>
      <c r="AI17" s="35" t="str">
        <f>J17</f>
        <v>Inseminátors FC II.</v>
      </c>
      <c r="AJ17" s="35"/>
      <c r="AK17" s="35"/>
      <c r="AL17" s="35"/>
      <c r="AM17" s="35"/>
      <c r="AN17" s="35">
        <f>AD17</f>
        <v>4</v>
      </c>
      <c r="AO17" s="35">
        <f>SUM(IF(AN16=AN17,N17,0),IF(AN18=AN17,V17,0),IF(AN19=AN17,Z17,0))</f>
        <v>1</v>
      </c>
      <c r="AP17" s="35">
        <f>AQ17-AR17</f>
        <v>0</v>
      </c>
      <c r="AQ17" s="35">
        <f>SUM(IF(AN16=AN17,K17,0),IF(AN18=AN17,S17,0),IF(AN19=AN17,W17,0))</f>
        <v>0</v>
      </c>
      <c r="AR17" s="35">
        <f>SUM(IF(AN16=AN17,M17,0),IF(AN18=AN17,U17,0),IF(AN19=AN17,Y17,0))</f>
        <v>0</v>
      </c>
      <c r="AS17" s="35">
        <f>AE17</f>
        <v>-1</v>
      </c>
      <c r="AT17" s="35">
        <f>AA17</f>
        <v>2</v>
      </c>
      <c r="AU17" s="35">
        <f>IF(AC17&gt;0,AA17/AC17,IF(AND(AA17&gt;0,AC17=0),90,0))</f>
        <v>0.6666666666666666</v>
      </c>
      <c r="AV17" s="35">
        <f>IF(F14&gt;0,0,IF('[1]program'!I55=AI17,0.5,IF('[1]program'!I56=AI17,0.4,IF('[1]program'!I57=AI17,0.3,0))))</f>
        <v>0</v>
      </c>
      <c r="AW17" s="35">
        <f>1000000000*AN17+100000000*AO17+1000000*AP17+10000*AQ17+100*AS17+AT17+AV17</f>
        <v>4099999902</v>
      </c>
      <c r="AX17" s="35">
        <f>10000*AN17+100*AS17+AU17</f>
        <v>39900.666666666664</v>
      </c>
      <c r="AY17" s="35">
        <f>RANK(AX17,AX16:AX19)</f>
        <v>2</v>
      </c>
      <c r="AZ17" s="35"/>
      <c r="BA17" s="35">
        <f>IF(AH17=1,AI17,"")</f>
      </c>
      <c r="BB17" s="35" t="str">
        <f>IF(AH17=2,AI17,"")</f>
        <v>Inseminátors FC II.</v>
      </c>
      <c r="BC17" s="35">
        <f>IF(AH17=3,AI17,"")</f>
      </c>
      <c r="BD17" s="35">
        <f>IF(AH17=4,AI17,"")</f>
      </c>
      <c r="BE17" s="35"/>
      <c r="BF17" s="35" t="s">
        <v>60</v>
      </c>
      <c r="BG17" s="35" t="str">
        <f>IF(F12=0,IF(COUNTIF(AH16:AH19,2)=1,VLOOKUP(2,AH16:AI19,2,0),IF(COUNTIF(AH16:AH19,2)=0,"",IF(COUNTIF(AH16:AH19,2)=2,"los2","los3"))),"")</f>
        <v>Inseminátors FC II.</v>
      </c>
      <c r="BH17" s="35">
        <f>IF(OR(BG17="los2",BG17="los3"),IF(AH16=2,BB16,IF(AH17=2,BB17,IF(AH18=2,BB18,""))),"")</f>
      </c>
      <c r="BI17" s="35">
        <f>IF(OR(BG17="los2",BG17="los3"),IF(BH17=BB16,IF(AH17=2,BB17,IF(AH18=2,BB18,IF(AH19=2,BB19,""))),IF(BH17=BB17,IF(AH18=2,BB18,IF(AH19=2,BB19,"")),IF(BH17=BB18,IF(AH19=2,BB19,""),""))),"")</f>
      </c>
      <c r="BJ17" s="35">
        <f>IF(BG17="los3",IF(BH17=BB16,IF(BI17=BB17,IF(AH18=2,BB18,IF(AH19=2,BB19,"")),IF(BI17=BB18,BB19,"")),IF(BH17=BB17,IF(AH19=2,BB19,""),"")),"")</f>
      </c>
      <c r="BK17" s="35"/>
      <c r="BL17" s="35"/>
      <c r="BM17" s="35"/>
      <c r="BN17" s="35" t="str">
        <f>IF(BN15="dohrano",HLOOKUP(2,AJ14:AM15,2,FALSE),"2B")</f>
        <v>Inseminátors FC II.</v>
      </c>
      <c r="BO17" s="35">
        <f>IF(BN15="dohrano",CHOOSE(MATCH(BN17,J16:J19,0),(CHOOSE(MATCH(BO15,J16:J19,0),K16,O16,S16,W16)),(CHOOSE(MATCH(BO15,J16:J19,0),K17,O17,S17,W17)),(CHOOSE(MATCH(BO15,J16:J19,0),K18,O18,S18,W18)),(CHOOSE(MATCH(BO15,J16:J19,0),K19,O19,S19,W19))),"")</f>
        <v>1</v>
      </c>
      <c r="BP17" s="35"/>
      <c r="BQ17" s="35">
        <f>IF(BN15="dohrano",CHOOSE(MATCH(BN17,J16:J19,0),(CHOOSE(MATCH(BQ15,J16:J19,0),K16,O16,S16,W16)),(CHOOSE(MATCH(BQ15,J16:J19,0),K17,O17,S17,W17)),(CHOOSE(MATCH(BQ15,J16:J19,0),K18,O18,S18,W18)),(CHOOSE(MATCH(BQ15,J16:J19,0),K19,O19,S19,W19))),"")</f>
        <v>0</v>
      </c>
      <c r="BR17" s="35">
        <f>IF(BN15="dohrano",CHOOSE(MATCH(BN17,J16:J19,0),(CHOOSE(MATCH(BR15,J16:J19,0),K16,O16,S16,W16)),(CHOOSE(MATCH(BR15,J16:J19,0),K17,O17,S17,W17)),(CHOOSE(MATCH(BR15,J16:J19,0),K18,O18,S18,W18)),(CHOOSE(MATCH(BR15,J16:J19,0),K19,O19,S19,W19))),"")</f>
        <v>1</v>
      </c>
    </row>
    <row r="18" spans="2:70" ht="19.5" customHeight="1">
      <c r="B18" s="60" t="str">
        <f>Týmy!$B$9</f>
        <v>Inseminátors FC II.</v>
      </c>
      <c r="C18" s="46">
        <f>$W$17</f>
        <v>1</v>
      </c>
      <c r="D18" s="34" t="s">
        <v>1</v>
      </c>
      <c r="E18" s="46">
        <f>$Y$17</f>
        <v>3</v>
      </c>
      <c r="F18" s="46" t="str">
        <f>Týmy!$B$11</f>
        <v>Paradise</v>
      </c>
      <c r="G18" s="33">
        <f t="shared" si="2"/>
        <v>0</v>
      </c>
      <c r="H18" s="52">
        <f t="shared" si="3"/>
        <v>3</v>
      </c>
      <c r="J18" s="86" t="str">
        <f>Týmy!$B$10</f>
        <v>GMS Most</v>
      </c>
      <c r="K18" s="14">
        <f>$U$16</f>
        <v>4</v>
      </c>
      <c r="L18" s="12" t="s">
        <v>1</v>
      </c>
      <c r="M18" s="13">
        <f>$S$16</f>
        <v>1</v>
      </c>
      <c r="N18" s="31">
        <f>IF(COUNTBLANK(K18:M18)=0,IF(K18&lt;M18,0,IF(K18=M18,1,3)),"")</f>
        <v>3</v>
      </c>
      <c r="O18" s="14">
        <f>$U$17</f>
        <v>0</v>
      </c>
      <c r="P18" s="12" t="s">
        <v>1</v>
      </c>
      <c r="Q18" s="13">
        <f>$S$17</f>
        <v>1</v>
      </c>
      <c r="R18" s="31">
        <f>IF(COUNTBLANK(O18:Q18)=0,IF(O18&lt;Q18,0,IF(O18=Q18,1,3)),"")</f>
        <v>0</v>
      </c>
      <c r="S18" s="254" t="s">
        <v>40</v>
      </c>
      <c r="T18" s="255"/>
      <c r="U18" s="256"/>
      <c r="V18" s="30"/>
      <c r="W18" s="14">
        <f>IF(ISBLANK(Výsledky!E10),"",Výsledky!E10)</f>
        <v>1</v>
      </c>
      <c r="X18" s="12" t="s">
        <v>1</v>
      </c>
      <c r="Y18" s="13">
        <f>IF(ISBLANK(Výsledky!G10),"",Výsledky!G10)</f>
        <v>3</v>
      </c>
      <c r="Z18" s="31">
        <f>IF(COUNTBLANK(W18:Y18)=0,IF(W18&lt;Y18,0,IF(W18=Y18,1,3)),"")</f>
        <v>0</v>
      </c>
      <c r="AA18" s="43">
        <f>SUM(K18,O18,W18)</f>
        <v>5</v>
      </c>
      <c r="AB18" s="10" t="s">
        <v>1</v>
      </c>
      <c r="AC18" s="44">
        <f>SUM(M18,Q18,Y18)</f>
        <v>5</v>
      </c>
      <c r="AD18" s="37">
        <f>SUM(G19+H15+H17)</f>
        <v>3</v>
      </c>
      <c r="AE18" s="38">
        <f>SUM(AA18-AC18)</f>
        <v>0</v>
      </c>
      <c r="AF18" s="87">
        <f>IF((F12=12),"",AH18)</f>
        <v>4</v>
      </c>
      <c r="AH18" s="36">
        <f>RANK(AW18,AW16:AW19)</f>
        <v>4</v>
      </c>
      <c r="AI18" s="35" t="str">
        <f>J18</f>
        <v>GMS Most</v>
      </c>
      <c r="AJ18" s="35"/>
      <c r="AK18" s="35"/>
      <c r="AL18" s="35"/>
      <c r="AM18" s="35"/>
      <c r="AN18" s="35">
        <f>AD18</f>
        <v>3</v>
      </c>
      <c r="AO18" s="35">
        <f>SUM(IF(AN16=AN18,N18,0),IF(AN17=AN18,R18,0),IF(AN19=AN18,Z18,0))</f>
        <v>0</v>
      </c>
      <c r="AP18" s="35">
        <f>AQ18-AR18</f>
        <v>0</v>
      </c>
      <c r="AQ18" s="35">
        <f>SUM(IF(AN16=AN18,K18,0),IF(AN17=AN18,O18,0),IF(AN19=AN18,W18,0))</f>
        <v>0</v>
      </c>
      <c r="AR18" s="35">
        <f>SUM(IF(AN16=AN18,M18,0),IF(AN17=AN18,Q18,0),IF(AN19=AN18,Y18,0))</f>
        <v>0</v>
      </c>
      <c r="AS18" s="35">
        <f>AE18</f>
        <v>0</v>
      </c>
      <c r="AT18" s="35">
        <f>AA18</f>
        <v>5</v>
      </c>
      <c r="AU18" s="35">
        <f>IF(AC18&gt;0,AA18/AC18,IF(AND(AA18&gt;0,AC18=0),90,0))</f>
        <v>1</v>
      </c>
      <c r="AV18" s="35">
        <f>IF(F14&gt;0,0,IF('[1]program'!I55=AI18,0.5,IF('[1]program'!I56=AI18,0.4,IF('[1]program'!I57=AI18,0.3,0))))</f>
        <v>0</v>
      </c>
      <c r="AW18" s="35">
        <f>1000000000*AN18+100000000*AO18+1000000*AP18+10000*AQ18+100*AS18+AT18+AV18</f>
        <v>3000000005</v>
      </c>
      <c r="AX18" s="35">
        <f>10000*AN18+100*AS18+AU18</f>
        <v>30001</v>
      </c>
      <c r="AY18" s="35">
        <f>RANK(AX18,AX16:AX19)</f>
        <v>4</v>
      </c>
      <c r="AZ18" s="35"/>
      <c r="BA18" s="35">
        <f>IF(AH18=1,AI18,"")</f>
      </c>
      <c r="BB18" s="35">
        <f>IF(AH18=2,AI18,"")</f>
      </c>
      <c r="BC18" s="35">
        <f>IF(AH18=3,AI18,"")</f>
      </c>
      <c r="BD18" s="35" t="str">
        <f>IF(AH18=4,AI18,"")</f>
        <v>GMS Most</v>
      </c>
      <c r="BE18" s="35"/>
      <c r="BF18" s="35" t="s">
        <v>61</v>
      </c>
      <c r="BG18" s="35" t="str">
        <f>IF(F12=0,IF(COUNTIF(AH16:AH19,3)=1,VLOOKUP(3,AH16:AI19,2,0),IF(COUNTIF(AH16:AH19,3)=2,"los2","")),"")</f>
        <v>FCH Most</v>
      </c>
      <c r="BH18" s="35">
        <f>IF(BG18="los2",IF(AH16=3,BC16,IF(AH17=3,BC17,IF(AH18=3,BC18,""))),"")</f>
      </c>
      <c r="BI18" s="35">
        <f>IF(BG18="los2",IF(BH18=BC16,IF(AH17=3,BC17,IF(AH18=3,BC18,IF(AH19=3,BC19,""))),IF(BH18=BC17,IF(AH18=3,BC18,IF(AH19=3,BC19,"")),IF(BH18=BC18,IF(AH19=3,BC19,""),""))),"")</f>
      </c>
      <c r="BJ18" s="35"/>
      <c r="BK18" s="35"/>
      <c r="BL18" s="35"/>
      <c r="BM18" s="35"/>
      <c r="BN18" s="35" t="str">
        <f>IF(BN15="dohrano",HLOOKUP(3,AJ14:AM15,2,FALSE),"3B")</f>
        <v>FCH Most</v>
      </c>
      <c r="BO18" s="35">
        <f>IF(BN15="dohrano",CHOOSE(MATCH(BN18,J16:J19,0),(CHOOSE(MATCH(BO15,J16:J19,0),K16,O16,S16,W16)),(CHOOSE(MATCH(BO15,J16:J19,0),K17,O17,S17,W17)),(CHOOSE(MATCH(BO15,J16:J19,0),K18,O18,S18,W18)),(CHOOSE(MATCH(BO15,J16:J19,0),K19,O19,S19,W19))),"")</f>
        <v>1</v>
      </c>
      <c r="BP18" s="35">
        <f>IF(BN15="dohrano",CHOOSE(MATCH(BN18,J16:J19,0),(CHOOSE(MATCH(BP15,J16:J19,0),K16,O16,S16,W16)),(CHOOSE(MATCH(BP15,J16:J19,0),K17,O17,S17,W17)),(CHOOSE(MATCH(BP15,J16:J19,0),K18,O18,S18,W18)),(CHOOSE(MATCH(BP15,J16:J19,0),K19,O19,S19,W19))),"")</f>
        <v>0</v>
      </c>
      <c r="BQ18" s="35"/>
      <c r="BR18" s="35">
        <f>IF(BN15="dohrano",CHOOSE(MATCH(BN18,J16:J19,0),(CHOOSE(MATCH(BR15,J16:J19,0),K16,O16,S16,W16)),(CHOOSE(MATCH(BR15,J16:J19,0),K17,O17,S17,W17)),(CHOOSE(MATCH(BR15,J16:J19,0),K18,O18,S18,W18)),(CHOOSE(MATCH(BR15,J16:J19,0),K19,O19,S19,W19))),"")</f>
        <v>1</v>
      </c>
    </row>
    <row r="19" spans="2:70" ht="19.5" customHeight="1" thickBot="1">
      <c r="B19" s="61" t="str">
        <f>Týmy!$B$10</f>
        <v>GMS Most</v>
      </c>
      <c r="C19" s="62">
        <f>$W$18</f>
        <v>1</v>
      </c>
      <c r="D19" s="55" t="s">
        <v>1</v>
      </c>
      <c r="E19" s="62">
        <f>$Y$18</f>
        <v>3</v>
      </c>
      <c r="F19" s="62" t="str">
        <f>Týmy!$B$11</f>
        <v>Paradise</v>
      </c>
      <c r="G19" s="54">
        <f t="shared" si="2"/>
        <v>0</v>
      </c>
      <c r="H19" s="57">
        <f t="shared" si="3"/>
        <v>3</v>
      </c>
      <c r="J19" s="88" t="str">
        <f>Týmy!$B$11</f>
        <v>Paradise</v>
      </c>
      <c r="K19" s="89">
        <f>$Y$16</f>
        <v>0</v>
      </c>
      <c r="L19" s="90" t="s">
        <v>1</v>
      </c>
      <c r="M19" s="91">
        <f>$W$16</f>
        <v>1</v>
      </c>
      <c r="N19" s="92">
        <f>IF(COUNTBLANK(K19:M19)=0,IF(K19&lt;M19,0,IF(K19=M19,1,3)),"")</f>
        <v>0</v>
      </c>
      <c r="O19" s="89">
        <f>$Y$17</f>
        <v>3</v>
      </c>
      <c r="P19" s="90" t="s">
        <v>1</v>
      </c>
      <c r="Q19" s="91">
        <f>$W$17</f>
        <v>1</v>
      </c>
      <c r="R19" s="92">
        <f>IF(COUNTBLANK(O19:Q19)=0,IF(O19&lt;Q19,0,IF(O19=Q19,1,3)),"")</f>
        <v>3</v>
      </c>
      <c r="S19" s="89">
        <f>$Y$18</f>
        <v>3</v>
      </c>
      <c r="T19" s="90" t="s">
        <v>1</v>
      </c>
      <c r="U19" s="91">
        <f>$W$18</f>
        <v>1</v>
      </c>
      <c r="V19" s="92">
        <f>IF(COUNTBLANK(S19:U19)=0,IF(S19&lt;U19,0,IF(S19=U19,1,3)),"")</f>
        <v>3</v>
      </c>
      <c r="W19" s="260" t="s">
        <v>40</v>
      </c>
      <c r="X19" s="261"/>
      <c r="Y19" s="262"/>
      <c r="Z19" s="93"/>
      <c r="AA19" s="94">
        <f>SUM(K19,O19,S19)</f>
        <v>6</v>
      </c>
      <c r="AB19" s="95" t="s">
        <v>1</v>
      </c>
      <c r="AC19" s="96">
        <f>SUM(M19,Q19,U19)</f>
        <v>3</v>
      </c>
      <c r="AD19" s="97">
        <f>SUM(H16+H18+H19)</f>
        <v>6</v>
      </c>
      <c r="AE19" s="98">
        <f>SUM(AA19-AC19)</f>
        <v>3</v>
      </c>
      <c r="AF19" s="99">
        <f>IF((F12=12),"",AH19)</f>
        <v>1</v>
      </c>
      <c r="AH19" s="36">
        <f>RANK(AW19,AW16:AW19)</f>
        <v>1</v>
      </c>
      <c r="AI19" s="35" t="str">
        <f>J19</f>
        <v>Paradise</v>
      </c>
      <c r="AJ19" s="35"/>
      <c r="AK19" s="35"/>
      <c r="AL19" s="35"/>
      <c r="AM19" s="35"/>
      <c r="AN19" s="35">
        <f>AD19</f>
        <v>6</v>
      </c>
      <c r="AO19" s="35">
        <f>SUM(IF(AN16=AN19,N19,0),IF(AN17=AN19,R19,0),IF(AN18=AN19,V19,0))</f>
        <v>0</v>
      </c>
      <c r="AP19" s="35">
        <f>AQ19-AR19</f>
        <v>0</v>
      </c>
      <c r="AQ19" s="35">
        <f>SUM(IF(AN16=AN19,K19,0),IF(AN17=AN19,O19,0),IF(AN18=AN19,S19,0))</f>
        <v>0</v>
      </c>
      <c r="AR19" s="35">
        <f>SUM(IF(AN16=AN19,M19,0),IF(AN17=AN19,Q19,0),IF(AN18=AN19,U19,0))</f>
        <v>0</v>
      </c>
      <c r="AS19" s="35">
        <f>AE19</f>
        <v>3</v>
      </c>
      <c r="AT19" s="35">
        <f>AA19</f>
        <v>6</v>
      </c>
      <c r="AU19" s="35">
        <f>IF(AC19&gt;0,AA19/AC19,IF(AND(AA19&gt;0,AC19=0),90,0))</f>
        <v>2</v>
      </c>
      <c r="AV19" s="35">
        <f>IF(F14&gt;0,0,IF('[1]program'!I55=AI19,0.5,IF('[1]program'!I56=AI19,0.4,IF('[1]program'!I57=AI19,0.3,0))))</f>
        <v>0</v>
      </c>
      <c r="AW19" s="35">
        <f>1000000000*AN19+100000000*AO19+1000000*AP19+10000*AQ19+100*AS19+AT19+AV19</f>
        <v>6000000306</v>
      </c>
      <c r="AX19" s="35">
        <f>10000*AN19+100*AS19+AU19</f>
        <v>60302</v>
      </c>
      <c r="AY19" s="35">
        <f>RANK(AX19,AX16:AX19)</f>
        <v>1</v>
      </c>
      <c r="AZ19" s="35"/>
      <c r="BA19" s="35" t="str">
        <f>IF(AH19=1,AI19,"")</f>
        <v>Paradise</v>
      </c>
      <c r="BB19" s="35">
        <f>IF(AH19=2,AI19,"")</f>
      </c>
      <c r="BC19" s="35">
        <f>IF(AH19=3,AI19,"")</f>
      </c>
      <c r="BD19" s="35">
        <f>IF(AH19=4,AI19,"")</f>
      </c>
      <c r="BE19" s="35"/>
      <c r="BF19" s="35" t="s">
        <v>62</v>
      </c>
      <c r="BG19" s="35" t="str">
        <f>IF(F12=0,IF(COUNTIF(AH16:AH19,4)=1,VLOOKUP(4,AH16:AI19,2,0),""),"")</f>
        <v>GMS Most</v>
      </c>
      <c r="BH19" s="35"/>
      <c r="BI19" s="35"/>
      <c r="BJ19" s="35"/>
      <c r="BK19" s="35"/>
      <c r="BL19" s="35"/>
      <c r="BM19" s="35"/>
      <c r="BN19" s="35" t="str">
        <f>IF(BN15="dohrano",HLOOKUP(4,AJ14:AM15,2,FALSE),"4B")</f>
        <v>GMS Most</v>
      </c>
      <c r="BO19" s="35">
        <f>IF(BN15="dohrano",CHOOSE(MATCH(BN19,J16:J19,0),(CHOOSE(MATCH(BO15,J16:J19,0),K16,O16,S16,W16)),(CHOOSE(MATCH(BO15,J16:J19,0),K17,O17,S17,W17)),(CHOOSE(MATCH(BO15,J16:J19,0),K18,O18,S18,W18)),(CHOOSE(MATCH(BO15,J16:J19,0),K19,O19,S19,W19))),"")</f>
        <v>1</v>
      </c>
      <c r="BP19" s="35">
        <f>IF(BN15="dohrano",CHOOSE(MATCH(BN19,J16:J19,0),(CHOOSE(MATCH(BP15,J16:J19,0),K16,O16,S16,W16)),(CHOOSE(MATCH(BP15,J16:J19,0),K17,O17,S17,W17)),(CHOOSE(MATCH(BP15,J16:J19,0),K18,O18,S18,W18)),(CHOOSE(MATCH(BP15,J16:J19,0),K19,O19,S19,W19))),"")</f>
        <v>0</v>
      </c>
      <c r="BQ19" s="35">
        <f>IF(BN15="dohrano",CHOOSE(MATCH(BN19,J16:J19,0),(CHOOSE(MATCH(BQ15,J16:J19,0),K16,O16,S16,W16)),(CHOOSE(MATCH(BQ15,J16:J19,0),K17,O17,S17,W17)),(CHOOSE(MATCH(BQ15,J16:J19,0),K18,O18,S18,W18)),(CHOOSE(MATCH(BQ15,J16:J19,0),K19,O19,S19,W19))),"")</f>
        <v>4</v>
      </c>
      <c r="BR19" s="35"/>
    </row>
    <row r="20" spans="2:8" ht="19.5" customHeight="1" hidden="1" thickTop="1">
      <c r="B20" s="45"/>
      <c r="C20" s="45"/>
      <c r="D20" s="45"/>
      <c r="E20" s="45"/>
      <c r="F20" s="45"/>
      <c r="G20" s="45"/>
      <c r="H20" s="45"/>
    </row>
    <row r="21" spans="2:8" ht="19.5" customHeight="1" hidden="1" thickBot="1">
      <c r="B21" s="45"/>
      <c r="C21" s="45"/>
      <c r="D21" s="45"/>
      <c r="E21" s="45"/>
      <c r="F21" s="45"/>
      <c r="G21" s="45"/>
      <c r="H21" s="45"/>
    </row>
    <row r="22" spans="2:8" ht="19.5" customHeight="1" hidden="1" thickTop="1">
      <c r="B22" s="266" t="s">
        <v>73</v>
      </c>
      <c r="C22" s="267"/>
      <c r="D22" s="58"/>
      <c r="E22" s="58"/>
      <c r="F22" s="49">
        <f>COUNTBLANK(C24:E29)</f>
        <v>0</v>
      </c>
      <c r="G22" s="58"/>
      <c r="H22" s="59"/>
    </row>
    <row r="23" spans="2:8" ht="19.5" customHeight="1" hidden="1">
      <c r="B23" s="60"/>
      <c r="C23" s="46"/>
      <c r="D23" s="46"/>
      <c r="E23" s="46"/>
      <c r="F23" s="46"/>
      <c r="G23" s="33" t="s">
        <v>64</v>
      </c>
      <c r="H23" s="52" t="s">
        <v>65</v>
      </c>
    </row>
    <row r="24" spans="2:70" ht="19.5" customHeight="1" thickBot="1" thickTop="1">
      <c r="B24" s="60" t="str">
        <f>Týmy!$B$12</f>
        <v>Gamblers Most</v>
      </c>
      <c r="C24" s="46">
        <f>$O$26</f>
        <v>7</v>
      </c>
      <c r="D24" s="34" t="s">
        <v>1</v>
      </c>
      <c r="E24" s="46">
        <f>$Q$26</f>
        <v>0</v>
      </c>
      <c r="F24" s="46" t="str">
        <f>Týmy!$B$13</f>
        <v>Inseminátors FC</v>
      </c>
      <c r="G24" s="33">
        <f aca="true" t="shared" si="4" ref="G24:G29">IF(COUNTBLANK(C24:E24)&gt;0,0,IF(C24&gt;E24,3,IF(C24=E24,1,0)))</f>
        <v>3</v>
      </c>
      <c r="H24" s="52">
        <f aca="true" t="shared" si="5" ref="H24:H29">IF(COUNTBLANK(C24:E24)&gt;0,0,IF(C24&lt;E24,3,IF(C24=E24,1,0)))</f>
        <v>0</v>
      </c>
      <c r="AH24" s="35"/>
      <c r="AI24" s="35"/>
      <c r="AJ24" s="35">
        <f>AF26</f>
        <v>2</v>
      </c>
      <c r="AK24" s="35">
        <f>AF27</f>
        <v>3</v>
      </c>
      <c r="AL24" s="35">
        <f>AF28</f>
        <v>4</v>
      </c>
      <c r="AM24" s="35">
        <f>AF29</f>
        <v>1</v>
      </c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>
        <f>IF(COUNTIF($AF$4:$AF$7,1)&gt;1,"O 1. místo ve skupině se bude losovat. ","")</f>
      </c>
      <c r="BN24" s="35"/>
      <c r="BO24" s="35"/>
      <c r="BP24" s="35"/>
      <c r="BQ24" s="35"/>
      <c r="BR24" s="35"/>
    </row>
    <row r="25" spans="2:70" ht="19.5" customHeight="1" thickTop="1">
      <c r="B25" s="60" t="str">
        <f>Týmy!$B$12</f>
        <v>Gamblers Most</v>
      </c>
      <c r="C25" s="46">
        <f>$S$26</f>
        <v>0</v>
      </c>
      <c r="D25" s="34" t="s">
        <v>1</v>
      </c>
      <c r="E25" s="46">
        <f>$U$26</f>
        <v>0</v>
      </c>
      <c r="F25" s="46" t="str">
        <f>Týmy!$B$14</f>
        <v>FC Internazionale Teplice</v>
      </c>
      <c r="G25" s="33">
        <f t="shared" si="4"/>
        <v>1</v>
      </c>
      <c r="H25" s="52">
        <f t="shared" si="5"/>
        <v>1</v>
      </c>
      <c r="J25" s="82" t="s">
        <v>41</v>
      </c>
      <c r="K25" s="257" t="str">
        <f>Týmy!$B$12</f>
        <v>Gamblers Most</v>
      </c>
      <c r="L25" s="258"/>
      <c r="M25" s="259"/>
      <c r="N25" s="16"/>
      <c r="O25" s="257" t="str">
        <f>Týmy!$B$13</f>
        <v>Inseminátors FC</v>
      </c>
      <c r="P25" s="258"/>
      <c r="Q25" s="259"/>
      <c r="R25" s="16"/>
      <c r="S25" s="263" t="str">
        <f>Týmy!$B$14</f>
        <v>FC Internazionale Teplice</v>
      </c>
      <c r="T25" s="264"/>
      <c r="U25" s="265"/>
      <c r="V25" s="16"/>
      <c r="W25" s="257" t="str">
        <f>Týmy!$B$15</f>
        <v>Krstný syni</v>
      </c>
      <c r="X25" s="258"/>
      <c r="Y25" s="259"/>
      <c r="Z25" s="16"/>
      <c r="AA25" s="257" t="s">
        <v>36</v>
      </c>
      <c r="AB25" s="258"/>
      <c r="AC25" s="259"/>
      <c r="AD25" s="84" t="s">
        <v>37</v>
      </c>
      <c r="AE25" s="83" t="s">
        <v>46</v>
      </c>
      <c r="AF25" s="85" t="s">
        <v>38</v>
      </c>
      <c r="AH25" s="35" t="s">
        <v>47</v>
      </c>
      <c r="AI25" s="35"/>
      <c r="AJ25" s="35" t="str">
        <f>K25</f>
        <v>Gamblers Most</v>
      </c>
      <c r="AK25" s="35" t="str">
        <f>O25</f>
        <v>Inseminátors FC</v>
      </c>
      <c r="AL25" s="35" t="str">
        <f>S25</f>
        <v>FC Internazionale Teplice</v>
      </c>
      <c r="AM25" s="35" t="str">
        <f>W25</f>
        <v>Krstný syni</v>
      </c>
      <c r="AN25" s="35" t="s">
        <v>45</v>
      </c>
      <c r="AO25" s="35" t="s">
        <v>48</v>
      </c>
      <c r="AP25" s="35" t="s">
        <v>49</v>
      </c>
      <c r="AQ25" s="35" t="s">
        <v>50</v>
      </c>
      <c r="AR25" s="35" t="s">
        <v>51</v>
      </c>
      <c r="AS25" s="35" t="s">
        <v>52</v>
      </c>
      <c r="AT25" s="35" t="s">
        <v>53</v>
      </c>
      <c r="AU25" s="35" t="s">
        <v>54</v>
      </c>
      <c r="AV25" s="35" t="s">
        <v>55</v>
      </c>
      <c r="AW25" s="35" t="s">
        <v>56</v>
      </c>
      <c r="AX25" s="35" t="s">
        <v>57</v>
      </c>
      <c r="AY25" s="35" t="s">
        <v>58</v>
      </c>
      <c r="AZ25" s="35"/>
      <c r="BA25" s="35" t="s">
        <v>59</v>
      </c>
      <c r="BB25" s="35" t="s">
        <v>60</v>
      </c>
      <c r="BC25" s="35" t="s">
        <v>61</v>
      </c>
      <c r="BD25" s="35" t="s">
        <v>62</v>
      </c>
      <c r="BE25" s="35"/>
      <c r="BF25" s="35"/>
      <c r="BG25" s="35"/>
      <c r="BH25" s="35"/>
      <c r="BI25" s="35"/>
      <c r="BJ25" s="35"/>
      <c r="BK25" s="35"/>
      <c r="BL25" s="35"/>
      <c r="BM25" s="35">
        <f>IF(COUNTIF($AF$4:$AF$7,2)&gt;1,"O 2. místo ve skupině se bude losovat. ","")</f>
      </c>
      <c r="BN25" s="35" t="str">
        <f>IF(OR((F22&gt;0),(COUNTBLANK(BM24:BM26)&lt;3)),"","dohrano")</f>
        <v>dohrano</v>
      </c>
      <c r="BO25" s="35" t="str">
        <f>BN26</f>
        <v>Krstný syni</v>
      </c>
      <c r="BP25" s="35" t="str">
        <f>BN27</f>
        <v>Gamblers Most</v>
      </c>
      <c r="BQ25" s="35" t="str">
        <f>BN28</f>
        <v>Inseminátors FC</v>
      </c>
      <c r="BR25" s="35" t="str">
        <f>BN29</f>
        <v>FC Internazionale Teplice</v>
      </c>
    </row>
    <row r="26" spans="2:70" ht="19.5" customHeight="1">
      <c r="B26" s="60" t="str">
        <f>Týmy!$B$12</f>
        <v>Gamblers Most</v>
      </c>
      <c r="C26" s="46">
        <f>$W$26</f>
        <v>3</v>
      </c>
      <c r="D26" s="34" t="s">
        <v>1</v>
      </c>
      <c r="E26" s="46">
        <f>$Y$26</f>
        <v>3</v>
      </c>
      <c r="F26" s="46" t="str">
        <f>Týmy!$B$15</f>
        <v>Krstný syni</v>
      </c>
      <c r="G26" s="33">
        <f t="shared" si="4"/>
        <v>1</v>
      </c>
      <c r="H26" s="52">
        <f t="shared" si="5"/>
        <v>1</v>
      </c>
      <c r="J26" s="86" t="str">
        <f>Týmy!$B$12</f>
        <v>Gamblers Most</v>
      </c>
      <c r="K26" s="254" t="s">
        <v>41</v>
      </c>
      <c r="L26" s="255"/>
      <c r="M26" s="256"/>
      <c r="N26" s="30"/>
      <c r="O26" s="14">
        <f>IF(ISBLANK(Výsledky!E16),"",Výsledky!E16)</f>
        <v>7</v>
      </c>
      <c r="P26" s="12" t="s">
        <v>1</v>
      </c>
      <c r="Q26" s="13">
        <f>IF(ISBLANK(Výsledky!G16),"",Výsledky!G16)</f>
        <v>0</v>
      </c>
      <c r="R26" s="31">
        <f>IF(COUNTBLANK(O26:Q26)=0,IF(O26&lt;Q26,0,IF(O26=Q26,1,3)),"")</f>
        <v>3</v>
      </c>
      <c r="S26" s="14">
        <f>IF(ISBLANK(Výsledky!E18),"",Výsledky!E18)</f>
        <v>0</v>
      </c>
      <c r="T26" s="12" t="s">
        <v>1</v>
      </c>
      <c r="U26" s="13">
        <f>IF(ISBLANK(Výsledky!G18),"",Výsledky!G18)</f>
        <v>0</v>
      </c>
      <c r="V26" s="31">
        <f>IF(COUNTBLANK(S26:U26)=0,IF(S26&lt;U26,0,IF(S26=U26,1,3)),"")</f>
        <v>1</v>
      </c>
      <c r="W26" s="14">
        <f>IF(ISBLANK(Výsledky!E20),"",Výsledky!E20)</f>
        <v>3</v>
      </c>
      <c r="X26" s="12" t="s">
        <v>1</v>
      </c>
      <c r="Y26" s="13">
        <f>IF(ISBLANK(Výsledky!G20),"",Výsledky!G20)</f>
        <v>3</v>
      </c>
      <c r="Z26" s="31">
        <f>IF(COUNTBLANK(W26:Y26)=0,IF(W26&lt;Y26,0,IF(W26=Y26,1,3)),"")</f>
        <v>1</v>
      </c>
      <c r="AA26" s="9">
        <f>SUM(O26,S26,W26)</f>
        <v>10</v>
      </c>
      <c r="AB26" s="10" t="s">
        <v>1</v>
      </c>
      <c r="AC26" s="11">
        <f>SUM(Q26,U26,Y26)</f>
        <v>3</v>
      </c>
      <c r="AD26" s="37">
        <f>SUM(G24+G25+G26)</f>
        <v>5</v>
      </c>
      <c r="AE26" s="38">
        <f>SUM(AA26-AC26)</f>
        <v>7</v>
      </c>
      <c r="AF26" s="87">
        <f>IF((F22=12),"",AH26)</f>
        <v>2</v>
      </c>
      <c r="AH26" s="36">
        <f>RANK(AW26,AW26:AW29)</f>
        <v>2</v>
      </c>
      <c r="AI26" s="35" t="str">
        <f>J26</f>
        <v>Gamblers Most</v>
      </c>
      <c r="AJ26" s="35"/>
      <c r="AK26" s="35"/>
      <c r="AL26" s="35"/>
      <c r="AM26" s="35"/>
      <c r="AN26" s="35">
        <f>AD26</f>
        <v>5</v>
      </c>
      <c r="AO26" s="35">
        <f>SUM(IF(AN27=AN26,R26,0),IF(AN28=AN26,V26,0),IF(AN29=AN26,Z26,0))</f>
        <v>0</v>
      </c>
      <c r="AP26" s="35">
        <f>AQ26-AR26</f>
        <v>0</v>
      </c>
      <c r="AQ26" s="35">
        <f>SUM(IF(AN27=AN26,O26,0),IF(AN28=AN26,S26,0),IF(AN29=AN26,W26,0))</f>
        <v>0</v>
      </c>
      <c r="AR26" s="35">
        <f>SUM(IF(AN27=AN26,Q26,0),IF(AN28=AN26,U26,0),IF(AN29=AN26,Y26,0))</f>
        <v>0</v>
      </c>
      <c r="AS26" s="35">
        <f>AE26</f>
        <v>7</v>
      </c>
      <c r="AT26" s="35">
        <f>AA26</f>
        <v>10</v>
      </c>
      <c r="AU26" s="35">
        <f>IF(AC26&gt;0,AA26/AC26,IF(AND(AA26&gt;0,AC26=0),90,0))</f>
        <v>3.3333333333333335</v>
      </c>
      <c r="AV26" s="35">
        <f>IF(F24&gt;0,0,IF('[1]program'!I65=AI26,0.5,IF('[1]program'!I66=AI26,0.4,IF('[1]program'!I67=AI26,0.3,0))))</f>
        <v>0</v>
      </c>
      <c r="AW26" s="35">
        <f>1000000000*AN26+100000000*AO26+1000000*AP26+10000*AQ26+100*AS26+AT26+AV26</f>
        <v>5000000710</v>
      </c>
      <c r="AX26" s="35">
        <f>10000*AN26+100*AS26+AU26</f>
        <v>50703.333333333336</v>
      </c>
      <c r="AY26" s="35">
        <f>RANK(AX26,AX26:AX29)</f>
        <v>2</v>
      </c>
      <c r="AZ26" s="35"/>
      <c r="BA26" s="35">
        <f>IF(AH26=1,AI26,"")</f>
      </c>
      <c r="BB26" s="35" t="str">
        <f>IF(AH26=2,AI26,"")</f>
        <v>Gamblers Most</v>
      </c>
      <c r="BC26" s="35">
        <f>IF(AH26=3,AI26,"")</f>
      </c>
      <c r="BD26" s="35">
        <f>IF(AH26=4,AI26,"")</f>
      </c>
      <c r="BE26" s="35"/>
      <c r="BF26" s="35" t="s">
        <v>59</v>
      </c>
      <c r="BG26" s="35" t="str">
        <f>IF(F22=0,IF(COUNTIF(AH26:AH29,1)=1,VLOOKUP(1,AH26:AI29,2,0),IF(COUNTIF(AH26:AH29,1)=2,"los2",IF(COUNTIF(AH26:AH29,1)=3,"los3","los4"))),"")</f>
        <v>Krstný syni</v>
      </c>
      <c r="BH26" s="35">
        <f>IF(BG26="los4",BA26,IF(OR(BG26="los2",BG26="los3"),IF(AH26=1,BA26,IF(AH27=1,BA27,IF(AH28=1,BA28,""))),""))</f>
      </c>
      <c r="BI26" s="35">
        <f>IF(OR(BG26="los2",BG26="los3",BG26="los4"),IF(BH26=AI26,IF(BA27=AI27,AI27,IF(BA28=AI28,AI28,AI29)),IF(BH26=AI27,IF(BA28=AI28,AI28,AI29),IF(BH26=AI28,AI29,""))),"")</f>
      </c>
      <c r="BJ26" s="35">
        <f>IF(BG26="los4",AI28,IF(BG26="los3",IF(BI26=AI27,IF(BA28=AI28,AI28,AI29),AI29),""))</f>
      </c>
      <c r="BK26" s="35">
        <f>IF(BG26="los4",AI29,"")</f>
      </c>
      <c r="BL26" s="35"/>
      <c r="BM26" s="35">
        <f>IF(COUNTIF($AF$4:$AF$7,3)&gt;1,"O 3. místo ve skupině se bude losovat. ","")</f>
      </c>
      <c r="BN26" s="35" t="str">
        <f>IF(BN25="dohrano",HLOOKUP(1,AJ24:AM25,2,FALSE),"1C")</f>
        <v>Krstný syni</v>
      </c>
      <c r="BO26" s="35"/>
      <c r="BP26" s="35">
        <f>IF(BN25="dohrano",CHOOSE(MATCH(BN26,J26:J29,0),(CHOOSE(MATCH(BP25,J26:J29,0),K26,O26,S26,W26)),(CHOOSE(MATCH(BP25,J26:J29,0),K27,O27,S27,W27)),(CHOOSE(MATCH(BP25,J26:J29,0),K28,O28,S28,W28)),(CHOOSE(MATCH(BP25,J26:J29,0),K29,O29,S29,W29))),"")</f>
        <v>3</v>
      </c>
      <c r="BQ26" s="35">
        <f>IF(BN25="dohrano",CHOOSE(MATCH(BN26,J26:J29,0),(CHOOSE(MATCH(BQ25,J26:J29,0),K26,O26,S26,W26)),(CHOOSE(MATCH(BQ25,J26:J29,0),K27,O27,S27,W27)),(CHOOSE(MATCH(BQ25,J26:J29,0),K28,O28,S28,W28)),(CHOOSE(MATCH(BQ25,J26:J29,0),K29,O29,S29,W29))),"")</f>
        <v>1</v>
      </c>
      <c r="BR26" s="35">
        <f>IF(BN25="dohrano",CHOOSE(MATCH(BN26,J26:J29,0),(CHOOSE(MATCH(BR25,J26:J29,0),K26,O26,S26,W26)),(CHOOSE(MATCH(BR25,J26:J29,0),K27,O27,S27,W27)),(CHOOSE(MATCH(BR25,J26:J29,0),K28,O28,S28,W28)),(CHOOSE(MATCH(BR25,J26:J29,0),K29,O29,S29,W29))),"")</f>
        <v>4</v>
      </c>
    </row>
    <row r="27" spans="2:70" ht="19.5" customHeight="1">
      <c r="B27" s="60" t="str">
        <f>Týmy!$B$13</f>
        <v>Inseminátors FC</v>
      </c>
      <c r="C27" s="46">
        <f>$S$27</f>
        <v>2</v>
      </c>
      <c r="D27" s="34" t="s">
        <v>1</v>
      </c>
      <c r="E27" s="46">
        <f>$U$27</f>
        <v>1</v>
      </c>
      <c r="F27" s="46" t="str">
        <f>Týmy!$B$14</f>
        <v>FC Internazionale Teplice</v>
      </c>
      <c r="G27" s="33">
        <f t="shared" si="4"/>
        <v>3</v>
      </c>
      <c r="H27" s="52">
        <f t="shared" si="5"/>
        <v>0</v>
      </c>
      <c r="J27" s="86" t="str">
        <f>Týmy!$B$13</f>
        <v>Inseminátors FC</v>
      </c>
      <c r="K27" s="14">
        <f>$Q$26</f>
        <v>0</v>
      </c>
      <c r="L27" s="12" t="s">
        <v>1</v>
      </c>
      <c r="M27" s="13">
        <f>$O$26</f>
        <v>7</v>
      </c>
      <c r="N27" s="31">
        <f>IF(COUNTBLANK(K27:M27)=0,IF(K27&lt;M27,0,IF(K27=M27,1,3)),"")</f>
        <v>0</v>
      </c>
      <c r="O27" s="254" t="s">
        <v>41</v>
      </c>
      <c r="P27" s="255"/>
      <c r="Q27" s="256"/>
      <c r="R27" s="30"/>
      <c r="S27" s="14">
        <f>IF(ISBLANK(Výsledky!E21),"",Výsledky!E21)</f>
        <v>2</v>
      </c>
      <c r="T27" s="12" t="s">
        <v>1</v>
      </c>
      <c r="U27" s="13">
        <f>IF(ISBLANK(Výsledky!G21),"",Výsledky!G21)</f>
        <v>1</v>
      </c>
      <c r="V27" s="31">
        <f>IF(COUNTBLANK(S27:U27)=0,IF(S27&lt;U27,0,IF(S27=U27,1,3)),"")</f>
        <v>3</v>
      </c>
      <c r="W27" s="14">
        <f>IF(ISBLANK(Výsledky!E19),"",Výsledky!E19)</f>
        <v>0</v>
      </c>
      <c r="X27" s="12" t="s">
        <v>1</v>
      </c>
      <c r="Y27" s="13">
        <f>IF(ISBLANK(Výsledky!G19),"",Výsledky!G19)</f>
        <v>1</v>
      </c>
      <c r="Z27" s="31">
        <f>IF(COUNTBLANK(W27:Y27)=0,IF(W27&lt;Y27,0,IF(W27=Y27,1,3)),"")</f>
        <v>0</v>
      </c>
      <c r="AA27" s="43">
        <f>SUM(K27,S27,W27)</f>
        <v>2</v>
      </c>
      <c r="AB27" s="10" t="s">
        <v>1</v>
      </c>
      <c r="AC27" s="44">
        <f>SUM(M27,U27,Y27)</f>
        <v>9</v>
      </c>
      <c r="AD27" s="37">
        <f>SUM(H24+G27+G28)</f>
        <v>3</v>
      </c>
      <c r="AE27" s="38">
        <f>SUM(AA27-AC27)</f>
        <v>-7</v>
      </c>
      <c r="AF27" s="87">
        <f>IF((F22=12),"",AH27)</f>
        <v>3</v>
      </c>
      <c r="AH27" s="36">
        <f>RANK(AW27,AW26:AW29)</f>
        <v>3</v>
      </c>
      <c r="AI27" s="35" t="str">
        <f>J27</f>
        <v>Inseminátors FC</v>
      </c>
      <c r="AJ27" s="35"/>
      <c r="AK27" s="35"/>
      <c r="AL27" s="35"/>
      <c r="AM27" s="35"/>
      <c r="AN27" s="35">
        <f>AD27</f>
        <v>3</v>
      </c>
      <c r="AO27" s="35">
        <f>SUM(IF(AN26=AN27,N27,0),IF(AN28=AN27,V27,0),IF(AN29=AN27,Z27,0))</f>
        <v>0</v>
      </c>
      <c r="AP27" s="35">
        <f>AQ27-AR27</f>
        <v>0</v>
      </c>
      <c r="AQ27" s="35">
        <f>SUM(IF(AN26=AN27,K27,0),IF(AN28=AN27,S27,0),IF(AN29=AN27,W27,0))</f>
        <v>0</v>
      </c>
      <c r="AR27" s="35">
        <f>SUM(IF(AN26=AN27,M27,0),IF(AN28=AN27,U27,0),IF(AN29=AN27,Y27,0))</f>
        <v>0</v>
      </c>
      <c r="AS27" s="35">
        <f>AE27</f>
        <v>-7</v>
      </c>
      <c r="AT27" s="35">
        <f>AA27</f>
        <v>2</v>
      </c>
      <c r="AU27" s="35">
        <f>IF(AC27&gt;0,AA27/AC27,IF(AND(AA27&gt;0,AC27=0),90,0))</f>
        <v>0.2222222222222222</v>
      </c>
      <c r="AV27" s="35">
        <f>IF(F24&gt;0,0,IF('[1]program'!I65=AI27,0.5,IF('[1]program'!I66=AI27,0.4,IF('[1]program'!I67=AI27,0.3,0))))</f>
        <v>0</v>
      </c>
      <c r="AW27" s="35">
        <f>1000000000*AN27+100000000*AO27+1000000*AP27+10000*AQ27+100*AS27+AT27+AV27</f>
        <v>2999999302</v>
      </c>
      <c r="AX27" s="35">
        <f>10000*AN27+100*AS27+AU27</f>
        <v>29300.222222222223</v>
      </c>
      <c r="AY27" s="35">
        <f>RANK(AX27,AX26:AX29)</f>
        <v>3</v>
      </c>
      <c r="AZ27" s="35"/>
      <c r="BA27" s="35">
        <f>IF(AH27=1,AI27,"")</f>
      </c>
      <c r="BB27" s="35">
        <f>IF(AH27=2,AI27,"")</f>
      </c>
      <c r="BC27" s="35" t="str">
        <f>IF(AH27=3,AI27,"")</f>
        <v>Inseminátors FC</v>
      </c>
      <c r="BD27" s="35">
        <f>IF(AH27=4,AI27,"")</f>
      </c>
      <c r="BE27" s="35"/>
      <c r="BF27" s="35" t="s">
        <v>60</v>
      </c>
      <c r="BG27" s="35" t="str">
        <f>IF(F22=0,IF(COUNTIF(AH26:AH29,2)=1,VLOOKUP(2,AH26:AI29,2,0),IF(COUNTIF(AH26:AH29,2)=0,"",IF(COUNTIF(AH26:AH29,2)=2,"los2","los3"))),"")</f>
        <v>Gamblers Most</v>
      </c>
      <c r="BH27" s="35">
        <f>IF(OR(BG27="los2",BG27="los3"),IF(AH26=2,BB26,IF(AH27=2,BB27,IF(AH28=2,BB28,""))),"")</f>
      </c>
      <c r="BI27" s="35">
        <f>IF(OR(BG27="los2",BG27="los3"),IF(BH27=BB26,IF(AH27=2,BB27,IF(AH28=2,BB28,IF(AH29=2,BB29,""))),IF(BH27=BB27,IF(AH28=2,BB28,IF(AH29=2,BB29,"")),IF(BH27=BB28,IF(AH29=2,BB29,""),""))),"")</f>
      </c>
      <c r="BJ27" s="35">
        <f>IF(BG27="los3",IF(BH27=BB26,IF(BI27=BB27,IF(AH28=2,BB28,IF(AH29=2,BB29,"")),IF(BI27=BB28,BB29,"")),IF(BH27=BB27,IF(AH29=2,BB29,""),"")),"")</f>
      </c>
      <c r="BK27" s="35"/>
      <c r="BL27" s="35"/>
      <c r="BM27" s="35"/>
      <c r="BN27" s="35" t="str">
        <f>IF(BN25="dohrano",HLOOKUP(2,AJ24:AM25,2,FALSE),"2C")</f>
        <v>Gamblers Most</v>
      </c>
      <c r="BO27" s="35">
        <f>IF(BN25="dohrano",CHOOSE(MATCH(BN27,J26:J29,0),(CHOOSE(MATCH(BO25,J26:J29,0),K26,O26,S26,W26)),(CHOOSE(MATCH(BO25,J26:J29,0),K27,O27,S27,W27)),(CHOOSE(MATCH(BO25,J26:J29,0),K28,O28,S28,W28)),(CHOOSE(MATCH(BO25,J26:J29,0),K29,O29,S29,W29))),"")</f>
        <v>3</v>
      </c>
      <c r="BP27" s="35"/>
      <c r="BQ27" s="35">
        <f>IF(BN25="dohrano",CHOOSE(MATCH(BN27,J26:J29,0),(CHOOSE(MATCH(BQ25,J26:J29,0),K26,O26,S26,W26)),(CHOOSE(MATCH(BQ25,J26:J29,0),K27,O27,S27,W27)),(CHOOSE(MATCH(BQ25,J26:J29,0),K28,O28,S28,W28)),(CHOOSE(MATCH(BQ25,J26:J29,0),K29,O29,S29,W29))),"")</f>
        <v>7</v>
      </c>
      <c r="BR27" s="35">
        <f>IF(BN25="dohrano",CHOOSE(MATCH(BN27,J26:J29,0),(CHOOSE(MATCH(BR25,J26:J29,0),K26,O26,S26,W26)),(CHOOSE(MATCH(BR25,J26:J29,0),K27,O27,S27,W27)),(CHOOSE(MATCH(BR25,J26:J29,0),K28,O28,S28,W28)),(CHOOSE(MATCH(BR25,J26:J29,0),K29,O29,S29,W29))),"")</f>
        <v>0</v>
      </c>
    </row>
    <row r="28" spans="2:70" ht="19.5" customHeight="1">
      <c r="B28" s="60" t="str">
        <f>Týmy!$B$13</f>
        <v>Inseminátors FC</v>
      </c>
      <c r="C28" s="46">
        <f>$W$27</f>
        <v>0</v>
      </c>
      <c r="D28" s="34" t="s">
        <v>1</v>
      </c>
      <c r="E28" s="46">
        <f>$Y$27</f>
        <v>1</v>
      </c>
      <c r="F28" s="46" t="str">
        <f>Týmy!$B$15</f>
        <v>Krstný syni</v>
      </c>
      <c r="G28" s="33">
        <f t="shared" si="4"/>
        <v>0</v>
      </c>
      <c r="H28" s="52">
        <f t="shared" si="5"/>
        <v>3</v>
      </c>
      <c r="J28" s="177" t="str">
        <f>Týmy!$B$14</f>
        <v>FC Internazionale Teplice</v>
      </c>
      <c r="K28" s="14">
        <f>$U$26</f>
        <v>0</v>
      </c>
      <c r="L28" s="12" t="s">
        <v>1</v>
      </c>
      <c r="M28" s="13">
        <f>$S$26</f>
        <v>0</v>
      </c>
      <c r="N28" s="31">
        <f>IF(COUNTBLANK(K28:M28)=0,IF(K28&lt;M28,0,IF(K28=M28,1,3)),"")</f>
        <v>1</v>
      </c>
      <c r="O28" s="14">
        <f>$U$27</f>
        <v>1</v>
      </c>
      <c r="P28" s="12" t="s">
        <v>1</v>
      </c>
      <c r="Q28" s="13">
        <f>$S$27</f>
        <v>2</v>
      </c>
      <c r="R28" s="31">
        <f>IF(COUNTBLANK(O28:Q28)=0,IF(O28&lt;Q28,0,IF(O28=Q28,1,3)),"")</f>
        <v>0</v>
      </c>
      <c r="S28" s="254" t="s">
        <v>41</v>
      </c>
      <c r="T28" s="255"/>
      <c r="U28" s="256"/>
      <c r="V28" s="30"/>
      <c r="W28" s="14">
        <f>IF(ISBLANK(Výsledky!E17),"",Výsledky!E17)</f>
        <v>1</v>
      </c>
      <c r="X28" s="12" t="s">
        <v>1</v>
      </c>
      <c r="Y28" s="13">
        <f>IF(ISBLANK(Výsledky!G17),"",Výsledky!G17)</f>
        <v>4</v>
      </c>
      <c r="Z28" s="31">
        <f>IF(COUNTBLANK(W28:Y28)=0,IF(W28&lt;Y28,0,IF(W28=Y28,1,3)),"")</f>
        <v>0</v>
      </c>
      <c r="AA28" s="43">
        <f>SUM(K28,O28,W28)</f>
        <v>2</v>
      </c>
      <c r="AB28" s="10" t="s">
        <v>1</v>
      </c>
      <c r="AC28" s="44">
        <f>SUM(M28,Q28,Y28)</f>
        <v>6</v>
      </c>
      <c r="AD28" s="37">
        <f>SUM(G29+H25+H27)</f>
        <v>1</v>
      </c>
      <c r="AE28" s="38">
        <f>SUM(AA28-AC28)</f>
        <v>-4</v>
      </c>
      <c r="AF28" s="87">
        <f>IF((F22=12),"",AH28)</f>
        <v>4</v>
      </c>
      <c r="AH28" s="36">
        <f>RANK(AW28,AW26:AW29)</f>
        <v>4</v>
      </c>
      <c r="AI28" s="35" t="str">
        <f>J28</f>
        <v>FC Internazionale Teplice</v>
      </c>
      <c r="AJ28" s="35"/>
      <c r="AK28" s="35"/>
      <c r="AL28" s="35"/>
      <c r="AM28" s="35"/>
      <c r="AN28" s="35">
        <f>AD28</f>
        <v>1</v>
      </c>
      <c r="AO28" s="35">
        <f>SUM(IF(AN26=AN28,N28,0),IF(AN27=AN28,R28,0),IF(AN29=AN28,Z28,0))</f>
        <v>0</v>
      </c>
      <c r="AP28" s="35">
        <f>AQ28-AR28</f>
        <v>0</v>
      </c>
      <c r="AQ28" s="35">
        <f>SUM(IF(AN26=AN28,K28,0),IF(AN27=AN28,O28,0),IF(AN29=AN28,W28,0))</f>
        <v>0</v>
      </c>
      <c r="AR28" s="35">
        <f>SUM(IF(AN26=AN28,M28,0),IF(AN27=AN28,Q28,0),IF(AN29=AN28,Y28,0))</f>
        <v>0</v>
      </c>
      <c r="AS28" s="35">
        <f>AE28</f>
        <v>-4</v>
      </c>
      <c r="AT28" s="35">
        <f>AA28</f>
        <v>2</v>
      </c>
      <c r="AU28" s="35">
        <f>IF(AC28&gt;0,AA28/AC28,IF(AND(AA28&gt;0,AC28=0),90,0))</f>
        <v>0.3333333333333333</v>
      </c>
      <c r="AV28" s="35">
        <f>IF(F24&gt;0,0,IF('[1]program'!I65=AI28,0.5,IF('[1]program'!I66=AI28,0.4,IF('[1]program'!I67=AI28,0.3,0))))</f>
        <v>0</v>
      </c>
      <c r="AW28" s="35">
        <f>1000000000*AN28+100000000*AO28+1000000*AP28+10000*AQ28+100*AS28+AT28+AV28</f>
        <v>999999602</v>
      </c>
      <c r="AX28" s="35">
        <f>10000*AN28+100*AS28+AU28</f>
        <v>9600.333333333334</v>
      </c>
      <c r="AY28" s="35">
        <f>RANK(AX28,AX26:AX29)</f>
        <v>4</v>
      </c>
      <c r="AZ28" s="35"/>
      <c r="BA28" s="35">
        <f>IF(AH28=1,AI28,"")</f>
      </c>
      <c r="BB28" s="35">
        <f>IF(AH28=2,AI28,"")</f>
      </c>
      <c r="BC28" s="35">
        <f>IF(AH28=3,AI28,"")</f>
      </c>
      <c r="BD28" s="35" t="str">
        <f>IF(AH28=4,AI28,"")</f>
        <v>FC Internazionale Teplice</v>
      </c>
      <c r="BE28" s="35"/>
      <c r="BF28" s="35" t="s">
        <v>61</v>
      </c>
      <c r="BG28" s="35" t="str">
        <f>IF(F22=0,IF(COUNTIF(AH26:AH29,3)=1,VLOOKUP(3,AH26:AI29,2,0),IF(COUNTIF(AH26:AH29,3)=2,"los2","")),"")</f>
        <v>Inseminátors FC</v>
      </c>
      <c r="BH28" s="35">
        <f>IF(BG28="los2",IF(AH26=3,BC26,IF(AH27=3,BC27,IF(AH28=3,BC28,""))),"")</f>
      </c>
      <c r="BI28" s="35">
        <f>IF(BG28="los2",IF(BH28=BC26,IF(AH27=3,BC27,IF(AH28=3,BC28,IF(AH29=3,BC29,""))),IF(BH28=BC27,IF(AH28=3,BC28,IF(AH29=3,BC29,"")),IF(BH28=BC28,IF(AH29=3,BC29,""),""))),"")</f>
      </c>
      <c r="BJ28" s="35"/>
      <c r="BK28" s="35"/>
      <c r="BL28" s="35"/>
      <c r="BM28" s="35"/>
      <c r="BN28" s="35" t="str">
        <f>IF(BN25="dohrano",HLOOKUP(3,AJ24:AM25,2,FALSE),"3C")</f>
        <v>Inseminátors FC</v>
      </c>
      <c r="BO28" s="35">
        <f>IF(BN25="dohrano",CHOOSE(MATCH(BN28,J26:J29,0),(CHOOSE(MATCH(BO25,J26:J29,0),K26,O26,S26,W26)),(CHOOSE(MATCH(BO25,J26:J29,0),K27,O27,S27,W27)),(CHOOSE(MATCH(BO25,J26:J29,0),K28,O28,S28,W28)),(CHOOSE(MATCH(BO25,J26:J29,0),K29,O29,S29,W29))),"")</f>
        <v>0</v>
      </c>
      <c r="BP28" s="35">
        <f>IF(BN25="dohrano",CHOOSE(MATCH(BN28,J26:J29,0),(CHOOSE(MATCH(BP25,J26:J29,0),K26,O26,S26,W26)),(CHOOSE(MATCH(BP25,J26:J29,0),K27,O27,S27,W27)),(CHOOSE(MATCH(BP25,J26:J29,0),K28,O28,S28,W28)),(CHOOSE(MATCH(BP25,J26:J29,0),K29,O29,S29,W29))),"")</f>
        <v>0</v>
      </c>
      <c r="BQ28" s="35"/>
      <c r="BR28" s="35">
        <f>IF(BN25="dohrano",CHOOSE(MATCH(BN28,J26:J29,0),(CHOOSE(MATCH(BR25,J26:J29,0),K26,O26,S26,W26)),(CHOOSE(MATCH(BR25,J26:J29,0),K27,O27,S27,W27)),(CHOOSE(MATCH(BR25,J26:J29,0),K28,O28,S28,W28)),(CHOOSE(MATCH(BR25,J26:J29,0),K29,O29,S29,W29))),"")</f>
        <v>2</v>
      </c>
    </row>
    <row r="29" spans="2:70" ht="19.5" customHeight="1" thickBot="1">
      <c r="B29" s="61" t="str">
        <f>Týmy!$B$14</f>
        <v>FC Internazionale Teplice</v>
      </c>
      <c r="C29" s="62">
        <f>$W$28</f>
        <v>1</v>
      </c>
      <c r="D29" s="55" t="s">
        <v>1</v>
      </c>
      <c r="E29" s="62">
        <f>$Y$28</f>
        <v>4</v>
      </c>
      <c r="F29" s="62" t="str">
        <f>Týmy!$B$15</f>
        <v>Krstný syni</v>
      </c>
      <c r="G29" s="54">
        <f t="shared" si="4"/>
        <v>0</v>
      </c>
      <c r="H29" s="57">
        <f t="shared" si="5"/>
        <v>3</v>
      </c>
      <c r="J29" s="88" t="str">
        <f>Týmy!$B$15</f>
        <v>Krstný syni</v>
      </c>
      <c r="K29" s="89">
        <f>$Y$26</f>
        <v>3</v>
      </c>
      <c r="L29" s="90" t="s">
        <v>1</v>
      </c>
      <c r="M29" s="91">
        <f>$W$26</f>
        <v>3</v>
      </c>
      <c r="N29" s="92">
        <f>IF(COUNTBLANK(K29:M29)=0,IF(K29&lt;M29,0,IF(K29=M29,1,3)),"")</f>
        <v>1</v>
      </c>
      <c r="O29" s="89">
        <f>$Y$27</f>
        <v>1</v>
      </c>
      <c r="P29" s="90" t="s">
        <v>1</v>
      </c>
      <c r="Q29" s="91">
        <f>$W$27</f>
        <v>0</v>
      </c>
      <c r="R29" s="92">
        <f>IF(COUNTBLANK(O29:Q29)=0,IF(O29&lt;Q29,0,IF(O29=Q29,1,3)),"")</f>
        <v>3</v>
      </c>
      <c r="S29" s="89">
        <f>$Y$28</f>
        <v>4</v>
      </c>
      <c r="T29" s="90" t="s">
        <v>1</v>
      </c>
      <c r="U29" s="91">
        <f>$W$28</f>
        <v>1</v>
      </c>
      <c r="V29" s="92">
        <f>IF(COUNTBLANK(S29:U29)=0,IF(S29&lt;U29,0,IF(S29=U29,1,3)),"")</f>
        <v>3</v>
      </c>
      <c r="W29" s="260" t="s">
        <v>41</v>
      </c>
      <c r="X29" s="261"/>
      <c r="Y29" s="262"/>
      <c r="Z29" s="93"/>
      <c r="AA29" s="94">
        <f>SUM(K29,O29,S29)</f>
        <v>8</v>
      </c>
      <c r="AB29" s="95" t="s">
        <v>1</v>
      </c>
      <c r="AC29" s="96">
        <f>SUM(M29,Q29,U29)</f>
        <v>4</v>
      </c>
      <c r="AD29" s="97">
        <f>SUM(H26+H28+H29)</f>
        <v>7</v>
      </c>
      <c r="AE29" s="98">
        <f>SUM(AA29-AC29)</f>
        <v>4</v>
      </c>
      <c r="AF29" s="99">
        <f>IF((F22=12),"",AH29)</f>
        <v>1</v>
      </c>
      <c r="AH29" s="36">
        <f>RANK(AW29,AW26:AW29)</f>
        <v>1</v>
      </c>
      <c r="AI29" s="35" t="str">
        <f>J29</f>
        <v>Krstný syni</v>
      </c>
      <c r="AJ29" s="35"/>
      <c r="AK29" s="35"/>
      <c r="AL29" s="35"/>
      <c r="AM29" s="35"/>
      <c r="AN29" s="35">
        <f>AD29</f>
        <v>7</v>
      </c>
      <c r="AO29" s="35">
        <f>SUM(IF(AN26=AN29,N29,0),IF(AN27=AN29,R29,0),IF(AN28=AN29,V29,0))</f>
        <v>0</v>
      </c>
      <c r="AP29" s="35">
        <f>AQ29-AR29</f>
        <v>0</v>
      </c>
      <c r="AQ29" s="35">
        <f>SUM(IF(AN26=AN29,K29,0),IF(AN27=AN29,O29,0),IF(AN28=AN29,S29,0))</f>
        <v>0</v>
      </c>
      <c r="AR29" s="35">
        <f>SUM(IF(AN26=AN29,M29,0),IF(AN27=AN29,Q29,0),IF(AN28=AN29,U29,0))</f>
        <v>0</v>
      </c>
      <c r="AS29" s="35">
        <f>AE29</f>
        <v>4</v>
      </c>
      <c r="AT29" s="35">
        <f>AA29</f>
        <v>8</v>
      </c>
      <c r="AU29" s="35">
        <f>IF(AC29&gt;0,AA29/AC29,IF(AND(AA29&gt;0,AC29=0),90,0))</f>
        <v>2</v>
      </c>
      <c r="AV29" s="35">
        <f>IF(F24&gt;0,0,IF('[1]program'!I65=AI29,0.5,IF('[1]program'!I66=AI29,0.4,IF('[1]program'!I67=AI29,0.3,0))))</f>
        <v>0</v>
      </c>
      <c r="AW29" s="35">
        <f>1000000000*AN29+100000000*AO29+1000000*AP29+10000*AQ29+100*AS29+AT29+AV29</f>
        <v>7000000408</v>
      </c>
      <c r="AX29" s="35">
        <f>10000*AN29+100*AS29+AU29</f>
        <v>70402</v>
      </c>
      <c r="AY29" s="35">
        <f>RANK(AX29,AX26:AX29)</f>
        <v>1</v>
      </c>
      <c r="AZ29" s="35"/>
      <c r="BA29" s="35" t="str">
        <f>IF(AH29=1,AI29,"")</f>
        <v>Krstný syni</v>
      </c>
      <c r="BB29" s="35">
        <f>IF(AH29=2,AI29,"")</f>
      </c>
      <c r="BC29" s="35">
        <f>IF(AH29=3,AI29,"")</f>
      </c>
      <c r="BD29" s="35">
        <f>IF(AH29=4,AI29,"")</f>
      </c>
      <c r="BE29" s="35"/>
      <c r="BF29" s="35" t="s">
        <v>62</v>
      </c>
      <c r="BG29" s="35" t="str">
        <f>IF(F22=0,IF(COUNTIF(AH26:AH29,4)=1,VLOOKUP(4,AH26:AI29,2,0),""),"")</f>
        <v>FC Internazionale Teplice</v>
      </c>
      <c r="BH29" s="35"/>
      <c r="BI29" s="35"/>
      <c r="BJ29" s="35"/>
      <c r="BK29" s="35"/>
      <c r="BL29" s="35"/>
      <c r="BM29" s="35"/>
      <c r="BN29" s="35" t="str">
        <f>IF(BN25="dohrano",HLOOKUP(4,AJ24:AM25,2,FALSE),"4C")</f>
        <v>FC Internazionale Teplice</v>
      </c>
      <c r="BO29" s="35">
        <f>IF(BN25="dohrano",CHOOSE(MATCH(BN29,J26:J29,0),(CHOOSE(MATCH(BO25,J26:J29,0),K26,O26,S26,W26)),(CHOOSE(MATCH(BO25,J26:J29,0),K27,O27,S27,W27)),(CHOOSE(MATCH(BO25,J26:J29,0),K28,O28,S28,W28)),(CHOOSE(MATCH(BO25,J26:J29,0),K29,O29,S29,W29))),"")</f>
        <v>1</v>
      </c>
      <c r="BP29" s="35">
        <f>IF(BN25="dohrano",CHOOSE(MATCH(BN29,J26:J29,0),(CHOOSE(MATCH(BP25,J26:J29,0),K26,O26,S26,W26)),(CHOOSE(MATCH(BP25,J26:J29,0),K27,O27,S27,W27)),(CHOOSE(MATCH(BP25,J26:J29,0),K28,O28,S28,W28)),(CHOOSE(MATCH(BP25,J26:J29,0),K29,O29,S29,W29))),"")</f>
        <v>0</v>
      </c>
      <c r="BQ29" s="35">
        <f>IF(BN25="dohrano",CHOOSE(MATCH(BN29,J26:J29,0),(CHOOSE(MATCH(BQ25,J26:J29,0),K26,O26,S26,W26)),(CHOOSE(MATCH(BQ25,J26:J29,0),K27,O27,S27,W27)),(CHOOSE(MATCH(BQ25,J26:J29,0),K28,O28,S28,W28)),(CHOOSE(MATCH(BQ25,J26:J29,0),K29,O29,S29,W29))),"")</f>
        <v>1</v>
      </c>
      <c r="BR29" s="35"/>
    </row>
    <row r="30" spans="2:8" ht="19.5" customHeight="1" hidden="1" thickTop="1">
      <c r="B30" s="45"/>
      <c r="C30" s="45"/>
      <c r="D30" s="45"/>
      <c r="E30" s="45"/>
      <c r="F30" s="45"/>
      <c r="G30" s="45"/>
      <c r="H30" s="45"/>
    </row>
    <row r="31" spans="2:8" ht="19.5" customHeight="1" hidden="1" thickBot="1">
      <c r="B31" s="45"/>
      <c r="C31" s="45"/>
      <c r="D31" s="45"/>
      <c r="E31" s="45"/>
      <c r="F31" s="45"/>
      <c r="G31" s="45"/>
      <c r="H31" s="45"/>
    </row>
    <row r="32" spans="2:8" ht="19.5" customHeight="1" hidden="1" thickTop="1">
      <c r="B32" s="266" t="s">
        <v>75</v>
      </c>
      <c r="C32" s="267"/>
      <c r="D32" s="58"/>
      <c r="E32" s="58"/>
      <c r="F32" s="49">
        <f>COUNTBLANK(C35:E40)</f>
        <v>0</v>
      </c>
      <c r="G32" s="58"/>
      <c r="H32" s="59"/>
    </row>
    <row r="33" spans="2:8" ht="19.5" customHeight="1" hidden="1">
      <c r="B33" s="60"/>
      <c r="C33" s="46"/>
      <c r="D33" s="46"/>
      <c r="E33" s="46"/>
      <c r="F33" s="46"/>
      <c r="G33" s="46"/>
      <c r="H33" s="63"/>
    </row>
    <row r="34" spans="2:70" ht="19.5" customHeight="1" thickBot="1" thickTop="1">
      <c r="B34" s="60"/>
      <c r="C34" s="46"/>
      <c r="D34" s="46"/>
      <c r="E34" s="46"/>
      <c r="F34" s="46"/>
      <c r="G34" s="33" t="s">
        <v>64</v>
      </c>
      <c r="H34" s="52" t="s">
        <v>65</v>
      </c>
      <c r="AH34" s="35"/>
      <c r="AI34" s="35"/>
      <c r="AJ34" s="35">
        <f>AF36</f>
        <v>1</v>
      </c>
      <c r="AK34" s="35">
        <f>AF37</f>
        <v>4</v>
      </c>
      <c r="AL34" s="35">
        <f>AF38</f>
        <v>2</v>
      </c>
      <c r="AM34" s="35">
        <f>AF39</f>
        <v>3</v>
      </c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>
        <f>IF(COUNTIF($AF$4:$AF$7,1)&gt;1,"O 1. místo ve skupině se bude losovat. ","")</f>
      </c>
      <c r="BN34" s="35"/>
      <c r="BO34" s="35"/>
      <c r="BP34" s="35"/>
      <c r="BQ34" s="35"/>
      <c r="BR34" s="35"/>
    </row>
    <row r="35" spans="2:70" ht="19.5" customHeight="1" thickTop="1">
      <c r="B35" s="60" t="str">
        <f>Týmy!$B$16</f>
        <v>Partizan Most</v>
      </c>
      <c r="C35" s="46">
        <f>$O$36</f>
        <v>0</v>
      </c>
      <c r="D35" s="34" t="s">
        <v>1</v>
      </c>
      <c r="E35" s="46">
        <f>$Q$36</f>
        <v>0</v>
      </c>
      <c r="F35" s="46" t="str">
        <f>Týmy!$B$17</f>
        <v>Sporting club</v>
      </c>
      <c r="G35" s="33">
        <f aca="true" t="shared" si="6" ref="G35:G40">IF(COUNTBLANK(C35:E35)&gt;0,0,IF(C35&gt;E35,3,IF(C35=E35,1,0)))</f>
        <v>1</v>
      </c>
      <c r="H35" s="52">
        <f aca="true" t="shared" si="7" ref="H35:H40">IF(COUNTBLANK(C35:E35)&gt;0,0,IF(C35&lt;E35,3,IF(C35=E35,1,0)))</f>
        <v>1</v>
      </c>
      <c r="J35" s="82" t="s">
        <v>42</v>
      </c>
      <c r="K35" s="257" t="str">
        <f>Týmy!$B$16</f>
        <v>Partizan Most</v>
      </c>
      <c r="L35" s="258"/>
      <c r="M35" s="259"/>
      <c r="N35" s="16"/>
      <c r="O35" s="257" t="str">
        <f>Týmy!$B$17</f>
        <v>Sporting club</v>
      </c>
      <c r="P35" s="258"/>
      <c r="Q35" s="259"/>
      <c r="R35" s="16"/>
      <c r="S35" s="257" t="str">
        <f>Týmy!$B$18</f>
        <v>Vamiro</v>
      </c>
      <c r="T35" s="258"/>
      <c r="U35" s="259"/>
      <c r="V35" s="16"/>
      <c r="W35" s="257" t="str">
        <f>Týmy!$B$19</f>
        <v>FCH Most SG</v>
      </c>
      <c r="X35" s="258"/>
      <c r="Y35" s="259"/>
      <c r="Z35" s="16"/>
      <c r="AA35" s="257" t="s">
        <v>36</v>
      </c>
      <c r="AB35" s="258"/>
      <c r="AC35" s="259"/>
      <c r="AD35" s="84" t="s">
        <v>37</v>
      </c>
      <c r="AE35" s="83" t="s">
        <v>46</v>
      </c>
      <c r="AF35" s="85" t="s">
        <v>38</v>
      </c>
      <c r="AH35" s="35" t="s">
        <v>47</v>
      </c>
      <c r="AI35" s="35"/>
      <c r="AJ35" s="35" t="str">
        <f>K35</f>
        <v>Partizan Most</v>
      </c>
      <c r="AK35" s="35" t="str">
        <f>O35</f>
        <v>Sporting club</v>
      </c>
      <c r="AL35" s="35" t="str">
        <f>S35</f>
        <v>Vamiro</v>
      </c>
      <c r="AM35" s="35" t="str">
        <f>W35</f>
        <v>FCH Most SG</v>
      </c>
      <c r="AN35" s="35" t="s">
        <v>45</v>
      </c>
      <c r="AO35" s="35" t="s">
        <v>48</v>
      </c>
      <c r="AP35" s="35" t="s">
        <v>49</v>
      </c>
      <c r="AQ35" s="35" t="s">
        <v>50</v>
      </c>
      <c r="AR35" s="35" t="s">
        <v>51</v>
      </c>
      <c r="AS35" s="35" t="s">
        <v>52</v>
      </c>
      <c r="AT35" s="35" t="s">
        <v>53</v>
      </c>
      <c r="AU35" s="35" t="s">
        <v>54</v>
      </c>
      <c r="AV35" s="35" t="s">
        <v>55</v>
      </c>
      <c r="AW35" s="35" t="s">
        <v>56</v>
      </c>
      <c r="AX35" s="35" t="s">
        <v>57</v>
      </c>
      <c r="AY35" s="35" t="s">
        <v>58</v>
      </c>
      <c r="AZ35" s="35"/>
      <c r="BA35" s="35" t="s">
        <v>59</v>
      </c>
      <c r="BB35" s="35" t="s">
        <v>60</v>
      </c>
      <c r="BC35" s="35" t="s">
        <v>61</v>
      </c>
      <c r="BD35" s="35" t="s">
        <v>62</v>
      </c>
      <c r="BE35" s="35"/>
      <c r="BF35" s="35"/>
      <c r="BG35" s="35"/>
      <c r="BH35" s="35"/>
      <c r="BI35" s="35"/>
      <c r="BJ35" s="35"/>
      <c r="BK35" s="35"/>
      <c r="BL35" s="35"/>
      <c r="BM35" s="35">
        <f>IF(COUNTIF($AF$4:$AF$7,2)&gt;1,"O 2. místo ve skupině se bude losovat. ","")</f>
      </c>
      <c r="BN35" s="35" t="str">
        <f>IF(OR((F32&gt;0),(COUNTBLANK(BM34:BM36)&lt;3)),"","dohrano")</f>
        <v>dohrano</v>
      </c>
      <c r="BO35" s="35" t="str">
        <f>BN36</f>
        <v>Partizan Most</v>
      </c>
      <c r="BP35" s="35" t="str">
        <f>BN37</f>
        <v>Vamiro</v>
      </c>
      <c r="BQ35" s="35" t="str">
        <f>BN38</f>
        <v>FCH Most SG</v>
      </c>
      <c r="BR35" s="35" t="str">
        <f>BN39</f>
        <v>Sporting club</v>
      </c>
    </row>
    <row r="36" spans="2:70" ht="19.5" customHeight="1">
      <c r="B36" s="60" t="str">
        <f>Týmy!$B$16</f>
        <v>Partizan Most</v>
      </c>
      <c r="C36" s="46">
        <f>$S$36</f>
        <v>1</v>
      </c>
      <c r="D36" s="34" t="s">
        <v>1</v>
      </c>
      <c r="E36" s="46">
        <f>$U$36</f>
        <v>0</v>
      </c>
      <c r="F36" s="46" t="str">
        <f>Týmy!$B$18</f>
        <v>Vamiro</v>
      </c>
      <c r="G36" s="33">
        <f t="shared" si="6"/>
        <v>3</v>
      </c>
      <c r="H36" s="52">
        <f t="shared" si="7"/>
        <v>0</v>
      </c>
      <c r="J36" s="86" t="str">
        <f>Týmy!$B$16</f>
        <v>Partizan Most</v>
      </c>
      <c r="K36" s="254" t="s">
        <v>42</v>
      </c>
      <c r="L36" s="255"/>
      <c r="M36" s="256"/>
      <c r="N36" s="30"/>
      <c r="O36" s="14">
        <f>IF(ISBLANK(Výsledky!E23),"",Výsledky!E23)</f>
        <v>0</v>
      </c>
      <c r="P36" s="12" t="s">
        <v>1</v>
      </c>
      <c r="Q36" s="13">
        <f>IF(ISBLANK(Výsledky!G23),"",Výsledky!G23)</f>
        <v>0</v>
      </c>
      <c r="R36" s="31">
        <f>IF(COUNTBLANK(O36:Q36)=0,IF(O36&lt;Q36,0,IF(O36=Q36,1,3)),"")</f>
        <v>1</v>
      </c>
      <c r="S36" s="14">
        <f>IF(ISBLANK(Výsledky!E25),"",Výsledky!E25)</f>
        <v>1</v>
      </c>
      <c r="T36" s="12" t="s">
        <v>1</v>
      </c>
      <c r="U36" s="13">
        <f>IF(ISBLANK(Výsledky!G25),"",Výsledky!G25)</f>
        <v>0</v>
      </c>
      <c r="V36" s="31">
        <f>IF(COUNTBLANK(S36:U36)=0,IF(S36&lt;U36,0,IF(S36=U36,1,3)),"")</f>
        <v>3</v>
      </c>
      <c r="W36" s="14">
        <f>IF(ISBLANK(Výsledky!E27),"",Výsledky!E27)</f>
        <v>3</v>
      </c>
      <c r="X36" s="12" t="s">
        <v>1</v>
      </c>
      <c r="Y36" s="13">
        <f>IF(ISBLANK(Výsledky!G27),"",Výsledky!G27)</f>
        <v>1</v>
      </c>
      <c r="Z36" s="31">
        <f>IF(COUNTBLANK(W36:Y36)=0,IF(W36&lt;Y36,0,IF(W36=Y36,1,3)),"")</f>
        <v>3</v>
      </c>
      <c r="AA36" s="9">
        <f>SUM(O36,S36,W36)</f>
        <v>4</v>
      </c>
      <c r="AB36" s="10" t="s">
        <v>1</v>
      </c>
      <c r="AC36" s="11">
        <f>SUM(Q36,U36,Y36)</f>
        <v>1</v>
      </c>
      <c r="AD36" s="37">
        <f>SUM(G35+G36+G37)</f>
        <v>7</v>
      </c>
      <c r="AE36" s="38">
        <f>SUM(AA36-AC36)</f>
        <v>3</v>
      </c>
      <c r="AF36" s="87">
        <f>IF((F32=12),"",AH36)</f>
        <v>1</v>
      </c>
      <c r="AH36" s="36">
        <f>RANK(AW36,AW36:AW39)</f>
        <v>1</v>
      </c>
      <c r="AI36" s="35" t="str">
        <f>J36</f>
        <v>Partizan Most</v>
      </c>
      <c r="AJ36" s="35"/>
      <c r="AK36" s="35"/>
      <c r="AL36" s="35"/>
      <c r="AM36" s="35"/>
      <c r="AN36" s="35">
        <f>AD36</f>
        <v>7</v>
      </c>
      <c r="AO36" s="35">
        <f>SUM(IF(AN37=AN36,R36,0),IF(AN38=AN36,V36,0),IF(AN39=AN36,Z36,0))</f>
        <v>0</v>
      </c>
      <c r="AP36" s="35">
        <f>AQ36-AR36</f>
        <v>0</v>
      </c>
      <c r="AQ36" s="35">
        <f>SUM(IF(AN37=AN36,O36,0),IF(AN38=AN36,S36,0),IF(AN39=AN36,W36,0))</f>
        <v>0</v>
      </c>
      <c r="AR36" s="35">
        <f>SUM(IF(AN37=AN36,Q36,0),IF(AN38=AN36,U36,0),IF(AN39=AN36,Y36,0))</f>
        <v>0</v>
      </c>
      <c r="AS36" s="35">
        <f>AE36</f>
        <v>3</v>
      </c>
      <c r="AT36" s="35">
        <f>AA36</f>
        <v>4</v>
      </c>
      <c r="AU36" s="35">
        <f>IF(AC36&gt;0,AA36/AC36,IF(AND(AA36&gt;0,AC36=0),90,0))</f>
        <v>4</v>
      </c>
      <c r="AV36" s="35">
        <f>IF(F34&gt;0,0,IF('[1]program'!I75=AI36,0.5,IF('[1]program'!I76=AI36,0.4,IF('[1]program'!I77=AI36,0.3,0))))</f>
        <v>0</v>
      </c>
      <c r="AW36" s="35">
        <f>1000000000*AN36+100000000*AO36+1000000*AP36+10000*AQ36+100*AS36+AT36+AV36</f>
        <v>7000000304</v>
      </c>
      <c r="AX36" s="35">
        <f>10000*AN36+100*AS36+AU36</f>
        <v>70304</v>
      </c>
      <c r="AY36" s="35">
        <f>RANK(AX36,AX36:AX39)</f>
        <v>1</v>
      </c>
      <c r="AZ36" s="35"/>
      <c r="BA36" s="35" t="str">
        <f>IF(AH36=1,AI36,"")</f>
        <v>Partizan Most</v>
      </c>
      <c r="BB36" s="35">
        <f>IF(AH36=2,AI36,"")</f>
      </c>
      <c r="BC36" s="35">
        <f>IF(AH36=3,AI36,"")</f>
      </c>
      <c r="BD36" s="35">
        <f>IF(AH36=4,AI36,"")</f>
      </c>
      <c r="BE36" s="35"/>
      <c r="BF36" s="35" t="s">
        <v>59</v>
      </c>
      <c r="BG36" s="35" t="str">
        <f>IF(F32=0,IF(COUNTIF(AH36:AH39,1)=1,VLOOKUP(1,AH36:AI39,2,0),IF(COUNTIF(AH36:AH39,1)=2,"los2",IF(COUNTIF(AH36:AH39,1)=3,"los3","los4"))),"")</f>
        <v>Partizan Most</v>
      </c>
      <c r="BH36" s="35">
        <f>IF(BG36="los4",BA36,IF(OR(BG36="los2",BG36="los3"),IF(AH36=1,BA36,IF(AH37=1,BA37,IF(AH38=1,BA38,""))),""))</f>
      </c>
      <c r="BI36" s="35">
        <f>IF(OR(BG36="los2",BG36="los3",BG36="los4"),IF(BH36=AI36,IF(BA37=AI37,AI37,IF(BA38=AI38,AI38,AI39)),IF(BH36=AI37,IF(BA38=AI38,AI38,AI39),IF(BH36=AI38,AI39,""))),"")</f>
      </c>
      <c r="BJ36" s="35">
        <f>IF(BG36="los4",AI38,IF(BG36="los3",IF(BI36=AI37,IF(BA38=AI38,AI38,AI39),AI39),""))</f>
      </c>
      <c r="BK36" s="35">
        <f>IF(BG36="los4",AI39,"")</f>
      </c>
      <c r="BL36" s="35"/>
      <c r="BM36" s="35">
        <f>IF(COUNTIF($AF$4:$AF$7,3)&gt;1,"O 3. místo ve skupině se bude losovat. ","")</f>
      </c>
      <c r="BN36" s="35" t="str">
        <f>IF(BN35="dohrano",HLOOKUP(1,AJ34:AM35,2,FALSE),"1D")</f>
        <v>Partizan Most</v>
      </c>
      <c r="BO36" s="35"/>
      <c r="BP36" s="35">
        <f>IF(BN35="dohrano",CHOOSE(MATCH(BN36,J36:J39,0),(CHOOSE(MATCH(BP35,J36:J39,0),K36,O36,S36,W36)),(CHOOSE(MATCH(BP35,J36:J39,0),K37,O37,S37,W37)),(CHOOSE(MATCH(BP35,J36:J39,0),K38,O38,S38,W38)),(CHOOSE(MATCH(BP35,J36:J39,0),K39,O39,S39,W39))),"")</f>
        <v>1</v>
      </c>
      <c r="BQ36" s="35">
        <f>IF(BN35="dohrano",CHOOSE(MATCH(BN36,J36:J39,0),(CHOOSE(MATCH(BQ35,J36:J39,0),K36,O36,S36,W36)),(CHOOSE(MATCH(BQ35,J36:J39,0),K37,O37,S37,W37)),(CHOOSE(MATCH(BQ35,J36:J39,0),K38,O38,S38,W38)),(CHOOSE(MATCH(BQ35,J36:J39,0),K39,O39,S39,W39))),"")</f>
        <v>3</v>
      </c>
      <c r="BR36" s="35">
        <f>IF(BN35="dohrano",CHOOSE(MATCH(BN36,J36:J39,0),(CHOOSE(MATCH(BR35,J36:J39,0),K36,O36,S36,W36)),(CHOOSE(MATCH(BR35,J36:J39,0),K37,O37,S37,W37)),(CHOOSE(MATCH(BR35,J36:J39,0),K38,O38,S38,W38)),(CHOOSE(MATCH(BR35,J36:J39,0),K39,O39,S39,W39))),"")</f>
        <v>0</v>
      </c>
    </row>
    <row r="37" spans="2:70" ht="19.5" customHeight="1">
      <c r="B37" s="60" t="str">
        <f>Týmy!$B$16</f>
        <v>Partizan Most</v>
      </c>
      <c r="C37" s="46">
        <f>$W$36</f>
        <v>3</v>
      </c>
      <c r="D37" s="34" t="s">
        <v>1</v>
      </c>
      <c r="E37" s="46">
        <f>$Y$36</f>
        <v>1</v>
      </c>
      <c r="F37" s="46" t="str">
        <f>Týmy!$B$19</f>
        <v>FCH Most SG</v>
      </c>
      <c r="G37" s="33">
        <f t="shared" si="6"/>
        <v>3</v>
      </c>
      <c r="H37" s="52">
        <f t="shared" si="7"/>
        <v>0</v>
      </c>
      <c r="J37" s="86" t="str">
        <f>Týmy!$B$17</f>
        <v>Sporting club</v>
      </c>
      <c r="K37" s="14">
        <f>$Q$36</f>
        <v>0</v>
      </c>
      <c r="L37" s="12" t="s">
        <v>1</v>
      </c>
      <c r="M37" s="13">
        <f>$O$36</f>
        <v>0</v>
      </c>
      <c r="N37" s="31">
        <f>IF(COUNTBLANK(K37:M37)=0,IF(K37&lt;M37,0,IF(K37=M37,1,3)),"")</f>
        <v>1</v>
      </c>
      <c r="O37" s="254" t="s">
        <v>42</v>
      </c>
      <c r="P37" s="255"/>
      <c r="Q37" s="256"/>
      <c r="R37" s="30"/>
      <c r="S37" s="14">
        <f>IF(ISBLANK(Výsledky!E28),"",Výsledky!E28)</f>
        <v>1</v>
      </c>
      <c r="T37" s="12" t="s">
        <v>1</v>
      </c>
      <c r="U37" s="13">
        <f>IF(ISBLANK(Výsledky!G28),"",Výsledky!G28)</f>
        <v>2</v>
      </c>
      <c r="V37" s="31">
        <f>IF(COUNTBLANK(S37:U37)=0,IF(S37&lt;U37,0,IF(S37=U37,1,3)),"")</f>
        <v>0</v>
      </c>
      <c r="W37" s="14">
        <f>IF(ISBLANK(Výsledky!E26),"",Výsledky!E26)</f>
        <v>0</v>
      </c>
      <c r="X37" s="12" t="s">
        <v>1</v>
      </c>
      <c r="Y37" s="13">
        <f>IF(ISBLANK(Výsledky!G26),"",Výsledky!G26)</f>
        <v>1</v>
      </c>
      <c r="Z37" s="31">
        <f>IF(COUNTBLANK(W37:Y37)=0,IF(W37&lt;Y37,0,IF(W37=Y37,1,3)),"")</f>
        <v>0</v>
      </c>
      <c r="AA37" s="43">
        <f>SUM(K37,S37,W37)</f>
        <v>1</v>
      </c>
      <c r="AB37" s="10" t="s">
        <v>1</v>
      </c>
      <c r="AC37" s="44">
        <f>SUM(M37,U37,Y37)</f>
        <v>3</v>
      </c>
      <c r="AD37" s="37">
        <f>SUM(H35+G38+G39)</f>
        <v>1</v>
      </c>
      <c r="AE37" s="38">
        <f>SUM(AA37-AC37)</f>
        <v>-2</v>
      </c>
      <c r="AF37" s="87">
        <f>IF((F32=12),"",AH37)</f>
        <v>4</v>
      </c>
      <c r="AH37" s="36">
        <f>RANK(AW37,AW36:AW39)</f>
        <v>4</v>
      </c>
      <c r="AI37" s="35" t="str">
        <f>J37</f>
        <v>Sporting club</v>
      </c>
      <c r="AJ37" s="35"/>
      <c r="AK37" s="35"/>
      <c r="AL37" s="35"/>
      <c r="AM37" s="35"/>
      <c r="AN37" s="35">
        <f>AD37</f>
        <v>1</v>
      </c>
      <c r="AO37" s="35">
        <f>SUM(IF(AN36=AN37,N37,0),IF(AN38=AN37,V37,0),IF(AN39=AN37,Z37,0))</f>
        <v>0</v>
      </c>
      <c r="AP37" s="35">
        <f>AQ37-AR37</f>
        <v>0</v>
      </c>
      <c r="AQ37" s="35">
        <f>SUM(IF(AN36=AN37,K37,0),IF(AN38=AN37,S37,0),IF(AN39=AN37,W37,0))</f>
        <v>0</v>
      </c>
      <c r="AR37" s="35">
        <f>SUM(IF(AN36=AN37,M37,0),IF(AN38=AN37,U37,0),IF(AN39=AN37,Y37,0))</f>
        <v>0</v>
      </c>
      <c r="AS37" s="35">
        <f>AE37</f>
        <v>-2</v>
      </c>
      <c r="AT37" s="35">
        <f>AA37</f>
        <v>1</v>
      </c>
      <c r="AU37" s="35">
        <f>IF(AC37&gt;0,AA37/AC37,IF(AND(AA37&gt;0,AC37=0),90,0))</f>
        <v>0.3333333333333333</v>
      </c>
      <c r="AV37" s="35">
        <f>IF(F34&gt;0,0,IF('[1]program'!I75=AI37,0.5,IF('[1]program'!I76=AI37,0.4,IF('[1]program'!I77=AI37,0.3,0))))</f>
        <v>0</v>
      </c>
      <c r="AW37" s="35">
        <f>1000000000*AN37+100000000*AO37+1000000*AP37+10000*AQ37+100*AS37+AT37+AV37</f>
        <v>999999801</v>
      </c>
      <c r="AX37" s="35">
        <f>10000*AN37+100*AS37+AU37</f>
        <v>9800.333333333334</v>
      </c>
      <c r="AY37" s="35">
        <f>RANK(AX37,AX36:AX39)</f>
        <v>4</v>
      </c>
      <c r="AZ37" s="35"/>
      <c r="BA37" s="35">
        <f>IF(AH37=1,AI37,"")</f>
      </c>
      <c r="BB37" s="35">
        <f>IF(AH37=2,AI37,"")</f>
      </c>
      <c r="BC37" s="35">
        <f>IF(AH37=3,AI37,"")</f>
      </c>
      <c r="BD37" s="35" t="str">
        <f>IF(AH37=4,AI37,"")</f>
        <v>Sporting club</v>
      </c>
      <c r="BE37" s="35"/>
      <c r="BF37" s="35" t="s">
        <v>60</v>
      </c>
      <c r="BG37" s="35" t="str">
        <f>IF(F32=0,IF(COUNTIF(AH36:AH39,2)=1,VLOOKUP(2,AH36:AI39,2,0),IF(COUNTIF(AH36:AH39,2)=0,"",IF(COUNTIF(AH36:AH39,2)=2,"los2","los3"))),"")</f>
        <v>Vamiro</v>
      </c>
      <c r="BH37" s="35">
        <f>IF(OR(BG37="los2",BG37="los3"),IF(AH36=2,BB36,IF(AH37=2,BB37,IF(AH38=2,BB38,""))),"")</f>
      </c>
      <c r="BI37" s="35">
        <f>IF(OR(BG37="los2",BG37="los3"),IF(BH37=BB36,IF(AH37=2,BB37,IF(AH38=2,BB38,IF(AH39=2,BB39,""))),IF(BH37=BB37,IF(AH38=2,BB38,IF(AH39=2,BB39,"")),IF(BH37=BB38,IF(AH39=2,BB39,""),""))),"")</f>
      </c>
      <c r="BJ37" s="35">
        <f>IF(BG37="los3",IF(BH37=BB36,IF(BI37=BB37,IF(AH38=2,BB38,IF(AH39=2,BB39,"")),IF(BI37=BB38,BB39,"")),IF(BH37=BB37,IF(AH39=2,BB39,""),"")),"")</f>
      </c>
      <c r="BK37" s="35"/>
      <c r="BL37" s="35"/>
      <c r="BM37" s="35"/>
      <c r="BN37" s="35" t="str">
        <f>IF(BN35="dohrano",HLOOKUP(2,AJ34:AM35,2,FALSE),"2D")</f>
        <v>Vamiro</v>
      </c>
      <c r="BO37" s="35">
        <f>IF(BN35="dohrano",CHOOSE(MATCH(BN37,J36:J39,0),(CHOOSE(MATCH(BO35,J36:J39,0),K36,O36,S36,W36)),(CHOOSE(MATCH(BO35,J36:J39,0),K37,O37,S37,W37)),(CHOOSE(MATCH(BO35,J36:J39,0),K38,O38,S38,W38)),(CHOOSE(MATCH(BO35,J36:J39,0),K39,O39,S39,W39))),"")</f>
        <v>0</v>
      </c>
      <c r="BP37" s="35"/>
      <c r="BQ37" s="35">
        <f>IF(BN35="dohrano",CHOOSE(MATCH(BN37,J36:J39,0),(CHOOSE(MATCH(BQ35,J36:J39,0),K36,O36,S36,W36)),(CHOOSE(MATCH(BQ35,J36:J39,0),K37,O37,S37,W37)),(CHOOSE(MATCH(BQ35,J36:J39,0),K38,O38,S38,W38)),(CHOOSE(MATCH(BQ35,J36:J39,0),K39,O39,S39,W39))),"")</f>
        <v>9</v>
      </c>
      <c r="BR37" s="35">
        <f>IF(BN35="dohrano",CHOOSE(MATCH(BN37,J36:J39,0),(CHOOSE(MATCH(BR35,J36:J39,0),K36,O36,S36,W36)),(CHOOSE(MATCH(BR35,J36:J39,0),K37,O37,S37,W37)),(CHOOSE(MATCH(BR35,J36:J39,0),K38,O38,S38,W38)),(CHOOSE(MATCH(BR35,J36:J39,0),K39,O39,S39,W39))),"")</f>
        <v>2</v>
      </c>
    </row>
    <row r="38" spans="2:70" ht="19.5" customHeight="1">
      <c r="B38" s="60" t="str">
        <f>Týmy!$B$17</f>
        <v>Sporting club</v>
      </c>
      <c r="C38" s="46">
        <f>$S$37</f>
        <v>1</v>
      </c>
      <c r="D38" s="34" t="s">
        <v>1</v>
      </c>
      <c r="E38" s="46">
        <f>$U$37</f>
        <v>2</v>
      </c>
      <c r="F38" s="46" t="str">
        <f>Týmy!$B$18</f>
        <v>Vamiro</v>
      </c>
      <c r="G38" s="33">
        <f t="shared" si="6"/>
        <v>0</v>
      </c>
      <c r="H38" s="52">
        <f t="shared" si="7"/>
        <v>3</v>
      </c>
      <c r="J38" s="86" t="str">
        <f>Týmy!$B$18</f>
        <v>Vamiro</v>
      </c>
      <c r="K38" s="14">
        <f>$U$36</f>
        <v>0</v>
      </c>
      <c r="L38" s="12" t="s">
        <v>1</v>
      </c>
      <c r="M38" s="13">
        <f>$S$36</f>
        <v>1</v>
      </c>
      <c r="N38" s="31">
        <f>IF(COUNTBLANK(K38:M38)=0,IF(K38&lt;M38,0,IF(K38=M38,1,3)),"")</f>
        <v>0</v>
      </c>
      <c r="O38" s="14">
        <f>$U$37</f>
        <v>2</v>
      </c>
      <c r="P38" s="12" t="s">
        <v>1</v>
      </c>
      <c r="Q38" s="13">
        <f>$S$37</f>
        <v>1</v>
      </c>
      <c r="R38" s="31">
        <f>IF(COUNTBLANK(O38:Q38)=0,IF(O38&lt;Q38,0,IF(O38=Q38,1,3)),"")</f>
        <v>3</v>
      </c>
      <c r="S38" s="254" t="s">
        <v>42</v>
      </c>
      <c r="T38" s="255"/>
      <c r="U38" s="256"/>
      <c r="V38" s="30"/>
      <c r="W38" s="14">
        <f>IF(ISBLANK(Výsledky!E24),"",Výsledky!E24)</f>
        <v>9</v>
      </c>
      <c r="X38" s="12" t="s">
        <v>1</v>
      </c>
      <c r="Y38" s="13">
        <f>IF(ISBLANK(Výsledky!G24),"",Výsledky!G24)</f>
        <v>0</v>
      </c>
      <c r="Z38" s="31">
        <f>IF(COUNTBLANK(W38:Y38)=0,IF(W38&lt;Y38,0,IF(W38=Y38,1,3)),"")</f>
        <v>3</v>
      </c>
      <c r="AA38" s="43">
        <f>SUM(K38,O38,W38)</f>
        <v>11</v>
      </c>
      <c r="AB38" s="10" t="s">
        <v>1</v>
      </c>
      <c r="AC38" s="44">
        <f>SUM(M38,Q38,Y38)</f>
        <v>2</v>
      </c>
      <c r="AD38" s="37">
        <f>SUM(G40+H36+H38)</f>
        <v>6</v>
      </c>
      <c r="AE38" s="38">
        <f>SUM(AA38-AC38)</f>
        <v>9</v>
      </c>
      <c r="AF38" s="87">
        <f>IF((F32=12),"",AH38)</f>
        <v>2</v>
      </c>
      <c r="AH38" s="36">
        <f>RANK(AW38,AW36:AW39)</f>
        <v>2</v>
      </c>
      <c r="AI38" s="35" t="str">
        <f>J38</f>
        <v>Vamiro</v>
      </c>
      <c r="AJ38" s="35"/>
      <c r="AK38" s="35"/>
      <c r="AL38" s="35"/>
      <c r="AM38" s="35"/>
      <c r="AN38" s="35">
        <f>AD38</f>
        <v>6</v>
      </c>
      <c r="AO38" s="35">
        <f>SUM(IF(AN36=AN38,N38,0),IF(AN37=AN38,R38,0),IF(AN39=AN38,Z38,0))</f>
        <v>0</v>
      </c>
      <c r="AP38" s="35">
        <f>AQ38-AR38</f>
        <v>0</v>
      </c>
      <c r="AQ38" s="35">
        <f>SUM(IF(AN36=AN38,K38,0),IF(AN37=AN38,O38,0),IF(AN39=AN38,W38,0))</f>
        <v>0</v>
      </c>
      <c r="AR38" s="35">
        <f>SUM(IF(AN36=AN38,M38,0),IF(AN37=AN38,Q38,0),IF(AN39=AN38,Y38,0))</f>
        <v>0</v>
      </c>
      <c r="AS38" s="35">
        <f>AE38</f>
        <v>9</v>
      </c>
      <c r="AT38" s="35">
        <f>AA38</f>
        <v>11</v>
      </c>
      <c r="AU38" s="35">
        <f>IF(AC38&gt;0,AA38/AC38,IF(AND(AA38&gt;0,AC38=0),90,0))</f>
        <v>5.5</v>
      </c>
      <c r="AV38" s="35">
        <f>IF(F34&gt;0,0,IF('[1]program'!I75=AI38,0.5,IF('[1]program'!I76=AI38,0.4,IF('[1]program'!I77=AI38,0.3,0))))</f>
        <v>0</v>
      </c>
      <c r="AW38" s="35">
        <f>1000000000*AN38+100000000*AO38+1000000*AP38+10000*AQ38+100*AS38+AT38+AV38</f>
        <v>6000000911</v>
      </c>
      <c r="AX38" s="35">
        <f>10000*AN38+100*AS38+AU38</f>
        <v>60905.5</v>
      </c>
      <c r="AY38" s="35">
        <f>RANK(AX38,AX36:AX39)</f>
        <v>2</v>
      </c>
      <c r="AZ38" s="35"/>
      <c r="BA38" s="35">
        <f>IF(AH38=1,AI38,"")</f>
      </c>
      <c r="BB38" s="35" t="str">
        <f>IF(AH38=2,AI38,"")</f>
        <v>Vamiro</v>
      </c>
      <c r="BC38" s="35">
        <f>IF(AH38=3,AI38,"")</f>
      </c>
      <c r="BD38" s="35">
        <f>IF(AH38=4,AI38,"")</f>
      </c>
      <c r="BE38" s="35"/>
      <c r="BF38" s="35" t="s">
        <v>61</v>
      </c>
      <c r="BG38" s="35" t="str">
        <f>IF(F32=0,IF(COUNTIF(AH36:AH39,3)=1,VLOOKUP(3,AH36:AI39,2,0),IF(COUNTIF(AH36:AH39,3)=2,"los2","")),"")</f>
        <v>FCH Most SG</v>
      </c>
      <c r="BH38" s="35">
        <f>IF(BG38="los2",IF(AH36=3,BC36,IF(AH37=3,BC37,IF(AH38=3,BC38,""))),"")</f>
      </c>
      <c r="BI38" s="35">
        <f>IF(BG38="los2",IF(BH38=BC36,IF(AH37=3,BC37,IF(AH38=3,BC38,IF(AH39=3,BC39,""))),IF(BH38=BC37,IF(AH38=3,BC38,IF(AH39=3,BC39,"")),IF(BH38=BC38,IF(AH39=3,BC39,""),""))),"")</f>
      </c>
      <c r="BJ38" s="35"/>
      <c r="BK38" s="35"/>
      <c r="BL38" s="35"/>
      <c r="BM38" s="35"/>
      <c r="BN38" s="35" t="str">
        <f>IF(BN35="dohrano",HLOOKUP(3,AJ34:AM35,2,FALSE),"3D")</f>
        <v>FCH Most SG</v>
      </c>
      <c r="BO38" s="35">
        <f>IF(BN35="dohrano",CHOOSE(MATCH(BN38,J36:J39,0),(CHOOSE(MATCH(BO35,J36:J39,0),K36,O36,S36,W36)),(CHOOSE(MATCH(BO35,J36:J39,0),K37,O37,S37,W37)),(CHOOSE(MATCH(BO35,J36:J39,0),K38,O38,S38,W38)),(CHOOSE(MATCH(BO35,J36:J39,0),K39,O39,S39,W39))),"")</f>
        <v>1</v>
      </c>
      <c r="BP38" s="35">
        <f>IF(BN35="dohrano",CHOOSE(MATCH(BN38,J36:J39,0),(CHOOSE(MATCH(BP35,J36:J39,0),K36,O36,S36,W36)),(CHOOSE(MATCH(BP35,J36:J39,0),K37,O37,S37,W37)),(CHOOSE(MATCH(BP35,J36:J39,0),K38,O38,S38,W38)),(CHOOSE(MATCH(BP35,J36:J39,0),K39,O39,S39,W39))),"")</f>
        <v>0</v>
      </c>
      <c r="BQ38" s="35"/>
      <c r="BR38" s="35">
        <f>IF(BN35="dohrano",CHOOSE(MATCH(BN38,J36:J39,0),(CHOOSE(MATCH(BR35,J36:J39,0),K36,O36,S36,W36)),(CHOOSE(MATCH(BR35,J36:J39,0),K37,O37,S37,W37)),(CHOOSE(MATCH(BR35,J36:J39,0),K38,O38,S38,W38)),(CHOOSE(MATCH(BR35,J36:J39,0),K39,O39,S39,W39))),"")</f>
        <v>1</v>
      </c>
    </row>
    <row r="39" spans="2:70" ht="19.5" customHeight="1" thickBot="1">
      <c r="B39" s="60" t="str">
        <f>Týmy!$B$17</f>
        <v>Sporting club</v>
      </c>
      <c r="C39" s="46">
        <f>$W$37</f>
        <v>0</v>
      </c>
      <c r="D39" s="34" t="s">
        <v>1</v>
      </c>
      <c r="E39" s="46">
        <f>$Y$37</f>
        <v>1</v>
      </c>
      <c r="F39" s="46" t="str">
        <f>Týmy!$B$19</f>
        <v>FCH Most SG</v>
      </c>
      <c r="G39" s="33">
        <f t="shared" si="6"/>
        <v>0</v>
      </c>
      <c r="H39" s="52">
        <f t="shared" si="7"/>
        <v>3</v>
      </c>
      <c r="J39" s="88" t="str">
        <f>Týmy!$B$19</f>
        <v>FCH Most SG</v>
      </c>
      <c r="K39" s="89">
        <f>$Y$36</f>
        <v>1</v>
      </c>
      <c r="L39" s="90" t="s">
        <v>1</v>
      </c>
      <c r="M39" s="91">
        <f>$W$36</f>
        <v>3</v>
      </c>
      <c r="N39" s="92">
        <f>IF(COUNTBLANK(K39:M39)=0,IF(K39&lt;M39,0,IF(K39=M39,1,3)),"")</f>
        <v>0</v>
      </c>
      <c r="O39" s="89">
        <f>$Y$37</f>
        <v>1</v>
      </c>
      <c r="P39" s="90" t="s">
        <v>1</v>
      </c>
      <c r="Q39" s="91">
        <f>$W$37</f>
        <v>0</v>
      </c>
      <c r="R39" s="92">
        <f>IF(COUNTBLANK(O39:Q39)=0,IF(O39&lt;Q39,0,IF(O39=Q39,1,3)),"")</f>
        <v>3</v>
      </c>
      <c r="S39" s="89">
        <f>$Y$38</f>
        <v>0</v>
      </c>
      <c r="T39" s="90" t="s">
        <v>1</v>
      </c>
      <c r="U39" s="91">
        <f>$W$38</f>
        <v>9</v>
      </c>
      <c r="V39" s="92">
        <f>IF(COUNTBLANK(S39:U39)=0,IF(S39&lt;U39,0,IF(S39=U39,1,3)),"")</f>
        <v>0</v>
      </c>
      <c r="W39" s="260" t="s">
        <v>42</v>
      </c>
      <c r="X39" s="261"/>
      <c r="Y39" s="262"/>
      <c r="Z39" s="93"/>
      <c r="AA39" s="94">
        <f>SUM(K39,O39,S39)</f>
        <v>2</v>
      </c>
      <c r="AB39" s="95" t="s">
        <v>1</v>
      </c>
      <c r="AC39" s="96">
        <f>SUM(M39,Q39,U39)</f>
        <v>12</v>
      </c>
      <c r="AD39" s="97">
        <f>SUM(H37+H39+H40)</f>
        <v>3</v>
      </c>
      <c r="AE39" s="98">
        <f>SUM(AA39-AC39)</f>
        <v>-10</v>
      </c>
      <c r="AF39" s="99">
        <f>IF((F32=12),"",AH39)</f>
        <v>3</v>
      </c>
      <c r="AH39" s="36">
        <f>RANK(AW39,AW36:AW39)</f>
        <v>3</v>
      </c>
      <c r="AI39" s="35" t="str">
        <f>J39</f>
        <v>FCH Most SG</v>
      </c>
      <c r="AJ39" s="35"/>
      <c r="AK39" s="35"/>
      <c r="AL39" s="35"/>
      <c r="AM39" s="35"/>
      <c r="AN39" s="35">
        <f>AD39</f>
        <v>3</v>
      </c>
      <c r="AO39" s="35">
        <f>SUM(IF(AN36=AN39,N39,0),IF(AN37=AN39,R39,0),IF(AN38=AN39,V39,0))</f>
        <v>0</v>
      </c>
      <c r="AP39" s="35">
        <f>AQ39-AR39</f>
        <v>0</v>
      </c>
      <c r="AQ39" s="35">
        <f>SUM(IF(AN36=AN39,K39,0),IF(AN37=AN39,O39,0),IF(AN38=AN39,S39,0))</f>
        <v>0</v>
      </c>
      <c r="AR39" s="35">
        <f>SUM(IF(AN36=AN39,M39,0),IF(AN37=AN39,Q39,0),IF(AN38=AN39,U39,0))</f>
        <v>0</v>
      </c>
      <c r="AS39" s="35">
        <f>AE39</f>
        <v>-10</v>
      </c>
      <c r="AT39" s="35">
        <f>AA39</f>
        <v>2</v>
      </c>
      <c r="AU39" s="35">
        <f>IF(AC39&gt;0,AA39/AC39,IF(AND(AA39&gt;0,AC39=0),90,0))</f>
        <v>0.16666666666666666</v>
      </c>
      <c r="AV39" s="35">
        <f>IF(F34&gt;0,0,IF('[1]program'!I75=AI39,0.5,IF('[1]program'!I76=AI39,0.4,IF('[1]program'!I77=AI39,0.3,0))))</f>
        <v>0</v>
      </c>
      <c r="AW39" s="35">
        <f>1000000000*AN39+100000000*AO39+1000000*AP39+10000*AQ39+100*AS39+AT39+AV39</f>
        <v>2999999002</v>
      </c>
      <c r="AX39" s="35">
        <f>10000*AN39+100*AS39+AU39</f>
        <v>29000.166666666668</v>
      </c>
      <c r="AY39" s="35">
        <f>RANK(AX39,AX36:AX39)</f>
        <v>3</v>
      </c>
      <c r="AZ39" s="35"/>
      <c r="BA39" s="35">
        <f>IF(AH39=1,AI39,"")</f>
      </c>
      <c r="BB39" s="35">
        <f>IF(AH39=2,AI39,"")</f>
      </c>
      <c r="BC39" s="35" t="str">
        <f>IF(AH39=3,AI39,"")</f>
        <v>FCH Most SG</v>
      </c>
      <c r="BD39" s="35">
        <f>IF(AH39=4,AI39,"")</f>
      </c>
      <c r="BE39" s="35"/>
      <c r="BF39" s="35" t="s">
        <v>62</v>
      </c>
      <c r="BG39" s="35" t="str">
        <f>IF(F32=0,IF(COUNTIF(AH36:AH39,4)=1,VLOOKUP(4,AH36:AI39,2,0),""),"")</f>
        <v>Sporting club</v>
      </c>
      <c r="BH39" s="35"/>
      <c r="BI39" s="35"/>
      <c r="BJ39" s="35"/>
      <c r="BK39" s="35"/>
      <c r="BL39" s="35"/>
      <c r="BM39" s="35"/>
      <c r="BN39" s="35" t="str">
        <f>IF(BN35="dohrano",HLOOKUP(4,AJ34:AM35,2,FALSE),"4D")</f>
        <v>Sporting club</v>
      </c>
      <c r="BO39" s="35">
        <f>IF(BN35="dohrano",CHOOSE(MATCH(BN39,J36:J39,0),(CHOOSE(MATCH(BO35,J36:J39,0),K36,O36,S36,W36)),(CHOOSE(MATCH(BO35,J36:J39,0),K37,O37,S37,W37)),(CHOOSE(MATCH(BO35,J36:J39,0),K38,O38,S38,W38)),(CHOOSE(MATCH(BO35,J36:J39,0),K39,O39,S39,W39))),"")</f>
        <v>0</v>
      </c>
      <c r="BP39" s="35">
        <f>IF(BN35="dohrano",CHOOSE(MATCH(BN39,J36:J39,0),(CHOOSE(MATCH(BP35,J36:J39,0),K36,O36,S36,W36)),(CHOOSE(MATCH(BP35,J36:J39,0),K37,O37,S37,W37)),(CHOOSE(MATCH(BP35,J36:J39,0),K38,O38,S38,W38)),(CHOOSE(MATCH(BP35,J36:J39,0),K39,O39,S39,W39))),"")</f>
        <v>1</v>
      </c>
      <c r="BQ39" s="35">
        <f>IF(BN35="dohrano",CHOOSE(MATCH(BN39,J36:J39,0),(CHOOSE(MATCH(BQ35,J36:J39,0),K36,O36,S36,W36)),(CHOOSE(MATCH(BQ35,J36:J39,0),K37,O37,S37,W37)),(CHOOSE(MATCH(BQ35,J36:J39,0),K38,O38,S38,W38)),(CHOOSE(MATCH(BQ35,J36:J39,0),K39,O39,S39,W39))),"")</f>
        <v>0</v>
      </c>
      <c r="BR39" s="35"/>
    </row>
    <row r="40" spans="2:8" ht="19.5" customHeight="1" thickBot="1" thickTop="1">
      <c r="B40" s="61" t="str">
        <f>Týmy!$B$18</f>
        <v>Vamiro</v>
      </c>
      <c r="C40" s="62">
        <f>$W$38</f>
        <v>9</v>
      </c>
      <c r="D40" s="55" t="s">
        <v>1</v>
      </c>
      <c r="E40" s="62">
        <f>$Y$38</f>
        <v>0</v>
      </c>
      <c r="F40" s="62" t="str">
        <f>Týmy!$B$19</f>
        <v>FCH Most SG</v>
      </c>
      <c r="G40" s="54">
        <f t="shared" si="6"/>
        <v>3</v>
      </c>
      <c r="H40" s="57">
        <f t="shared" si="7"/>
        <v>0</v>
      </c>
    </row>
    <row r="41" ht="19.5" customHeight="1" thickTop="1"/>
  </sheetData>
  <sheetProtection sheet="1"/>
  <protectedRanges>
    <protectedRange sqref="AF6:AF9 AF16:AF19 AF26:AF29 AF36:AF39" name="Oblast1"/>
  </protectedRanges>
  <mergeCells count="40">
    <mergeCell ref="B32:C32"/>
    <mergeCell ref="AA35:AC35"/>
    <mergeCell ref="K36:M36"/>
    <mergeCell ref="AA15:AC15"/>
    <mergeCell ref="K16:M16"/>
    <mergeCell ref="O17:Q17"/>
    <mergeCell ref="S18:U18"/>
    <mergeCell ref="W29:Y29"/>
    <mergeCell ref="K25:M25"/>
    <mergeCell ref="O25:Q25"/>
    <mergeCell ref="S25:U25"/>
    <mergeCell ref="W25:Y25"/>
    <mergeCell ref="B2:C2"/>
    <mergeCell ref="B12:C12"/>
    <mergeCell ref="B22:C22"/>
    <mergeCell ref="W39:Y39"/>
    <mergeCell ref="K35:M35"/>
    <mergeCell ref="O35:Q35"/>
    <mergeCell ref="S35:U35"/>
    <mergeCell ref="W35:Y35"/>
    <mergeCell ref="O37:Q37"/>
    <mergeCell ref="AA5:AC5"/>
    <mergeCell ref="K5:M5"/>
    <mergeCell ref="O5:Q5"/>
    <mergeCell ref="S5:U5"/>
    <mergeCell ref="W5:Y5"/>
    <mergeCell ref="K6:M6"/>
    <mergeCell ref="O15:Q15"/>
    <mergeCell ref="S15:U15"/>
    <mergeCell ref="W15:Y15"/>
    <mergeCell ref="S38:U38"/>
    <mergeCell ref="AA25:AC25"/>
    <mergeCell ref="K26:M26"/>
    <mergeCell ref="O27:Q27"/>
    <mergeCell ref="S28:U28"/>
    <mergeCell ref="O7:Q7"/>
    <mergeCell ref="S8:U8"/>
    <mergeCell ref="W9:Y9"/>
    <mergeCell ref="W19:Y19"/>
    <mergeCell ref="K15:M15"/>
  </mergeCells>
  <printOptions horizontalCentered="1" verticalCentered="1"/>
  <pageMargins left="0" right="0" top="0" bottom="0" header="0" footer="0"/>
  <pageSetup horizontalDpi="600" verticalDpi="600" orientation="portrait" paperSize="9" r:id="rId1"/>
  <ignoredErrors>
    <ignoredError sqref="F6:F7 F16:F17 F26:F27 F37:F38" formula="1"/>
    <ignoredError sqref="AF6:AF9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3:B19"/>
  <sheetViews>
    <sheetView zoomScalePageLayoutView="0" workbookViewId="0" topLeftCell="A4">
      <selection activeCell="B4" sqref="B4"/>
    </sheetView>
  </sheetViews>
  <sheetFormatPr defaultColWidth="9.140625" defaultRowHeight="19.5" customHeight="1"/>
  <cols>
    <col min="1" max="1" width="30.421875" style="0" customWidth="1"/>
    <col min="2" max="2" width="46.28125" style="0" customWidth="1"/>
  </cols>
  <sheetData>
    <row r="2" ht="19.5" customHeight="1" thickBot="1"/>
    <row r="3" spans="1:2" ht="30" customHeight="1" thickBot="1" thickTop="1">
      <c r="A3" s="268" t="s">
        <v>44</v>
      </c>
      <c r="B3" s="269"/>
    </row>
    <row r="4" spans="1:2" ht="30" customHeight="1" thickTop="1">
      <c r="A4" s="76" t="s">
        <v>79</v>
      </c>
      <c r="B4" s="123" t="str">
        <f>Výsledky!$K$40</f>
        <v>Gamblers Most</v>
      </c>
    </row>
    <row r="5" spans="1:2" ht="30" customHeight="1">
      <c r="A5" s="77" t="s">
        <v>80</v>
      </c>
      <c r="B5" s="124" t="str">
        <f>Výsledky!$L$40</f>
        <v>Krstný syni</v>
      </c>
    </row>
    <row r="6" spans="1:2" ht="30" customHeight="1">
      <c r="A6" s="77" t="s">
        <v>81</v>
      </c>
      <c r="B6" s="124" t="str">
        <f>Výsledky!$K$38</f>
        <v>Vamiro</v>
      </c>
    </row>
    <row r="7" spans="1:2" ht="30" customHeight="1">
      <c r="A7" s="77" t="s">
        <v>82</v>
      </c>
      <c r="B7" s="124" t="str">
        <f>Výsledky!$L$38</f>
        <v>Partizan Most</v>
      </c>
    </row>
    <row r="8" spans="1:2" ht="30" customHeight="1">
      <c r="A8" s="77" t="s">
        <v>83</v>
      </c>
      <c r="B8" s="124" t="str">
        <f>Výsledky!$L$30</f>
        <v>FK Juniorsko</v>
      </c>
    </row>
    <row r="9" spans="1:2" ht="30" customHeight="1">
      <c r="A9" s="77" t="s">
        <v>83</v>
      </c>
      <c r="B9" s="124" t="str">
        <f>Výsledky!$L$31</f>
        <v>Paradise</v>
      </c>
    </row>
    <row r="10" spans="1:2" ht="30" customHeight="1">
      <c r="A10" s="77" t="s">
        <v>83</v>
      </c>
      <c r="B10" s="124" t="str">
        <f>Výsledky!$L$32</f>
        <v>Gamblers Juniors</v>
      </c>
    </row>
    <row r="11" spans="1:2" ht="30" customHeight="1">
      <c r="A11" s="77" t="s">
        <v>83</v>
      </c>
      <c r="B11" s="124" t="str">
        <f>Výsledky!$L$33</f>
        <v>Inseminátors FC II.</v>
      </c>
    </row>
    <row r="12" spans="1:2" ht="30" customHeight="1">
      <c r="A12" s="77" t="s">
        <v>84</v>
      </c>
      <c r="B12" s="124" t="str">
        <f>Výsledky!$L$4</f>
        <v>Alergismus</v>
      </c>
    </row>
    <row r="13" spans="1:2" ht="30" customHeight="1">
      <c r="A13" s="77" t="s">
        <v>84</v>
      </c>
      <c r="B13" s="124" t="str">
        <f>Výsledky!$L$5</f>
        <v>Hyeny</v>
      </c>
    </row>
    <row r="14" spans="1:2" ht="30" customHeight="1">
      <c r="A14" s="77" t="s">
        <v>84</v>
      </c>
      <c r="B14" s="124" t="str">
        <f>Výsledky!$L$11</f>
        <v>FCH Most</v>
      </c>
    </row>
    <row r="15" spans="1:2" ht="30" customHeight="1">
      <c r="A15" s="77" t="s">
        <v>84</v>
      </c>
      <c r="B15" s="124" t="str">
        <f>Výsledky!$L$12</f>
        <v>GMS Most</v>
      </c>
    </row>
    <row r="16" spans="1:2" ht="30" customHeight="1">
      <c r="A16" s="77" t="s">
        <v>84</v>
      </c>
      <c r="B16" s="124" t="str">
        <f>Výsledky!$L$18</f>
        <v>Inseminátors FC</v>
      </c>
    </row>
    <row r="17" spans="1:2" ht="30" customHeight="1">
      <c r="A17" s="77" t="s">
        <v>84</v>
      </c>
      <c r="B17" s="124" t="str">
        <f>Výsledky!$L$19</f>
        <v>FC Internazionale Teplice</v>
      </c>
    </row>
    <row r="18" spans="1:2" ht="30" customHeight="1">
      <c r="A18" s="77" t="s">
        <v>84</v>
      </c>
      <c r="B18" s="124" t="str">
        <f>Výsledky!$L$25</f>
        <v>FCH Most SG</v>
      </c>
    </row>
    <row r="19" spans="1:2" ht="30" customHeight="1" thickBot="1">
      <c r="A19" s="78" t="s">
        <v>84</v>
      </c>
      <c r="B19" s="125" t="str">
        <f>Výsledky!$L$26</f>
        <v>Sporting club</v>
      </c>
    </row>
    <row r="20" ht="19.5" customHeight="1" thickTop="1"/>
  </sheetData>
  <sheetProtection sheet="1"/>
  <mergeCells count="1">
    <mergeCell ref="A3:B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1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27.57421875" style="150" customWidth="1"/>
    <col min="2" max="2" width="27.57421875" style="129" customWidth="1"/>
    <col min="3" max="8" width="9.7109375" style="129" customWidth="1"/>
    <col min="9" max="9" width="27.28125" style="129" customWidth="1"/>
    <col min="10" max="10" width="6.421875" style="129" hidden="1" customWidth="1"/>
    <col min="11" max="11" width="6.421875" style="0" hidden="1" customWidth="1"/>
    <col min="12" max="12" width="29.28125" style="134" customWidth="1"/>
    <col min="13" max="13" width="6.421875" style="0" customWidth="1"/>
  </cols>
  <sheetData>
    <row r="1" spans="1:12" ht="24.75" customHeight="1" thickBot="1" thickTop="1">
      <c r="A1" s="146" t="s">
        <v>99</v>
      </c>
      <c r="B1" s="140" t="s">
        <v>108</v>
      </c>
      <c r="C1" s="141" t="s">
        <v>100</v>
      </c>
      <c r="D1" s="141" t="s">
        <v>101</v>
      </c>
      <c r="E1" s="141" t="s">
        <v>102</v>
      </c>
      <c r="F1" s="141" t="s">
        <v>103</v>
      </c>
      <c r="G1" s="141" t="s">
        <v>104</v>
      </c>
      <c r="H1" s="141" t="s">
        <v>105</v>
      </c>
      <c r="I1" s="142" t="s">
        <v>106</v>
      </c>
      <c r="J1" s="143"/>
      <c r="K1" s="144"/>
      <c r="L1" s="145" t="s">
        <v>107</v>
      </c>
    </row>
    <row r="2" spans="1:12" ht="24.75" customHeight="1" thickTop="1">
      <c r="A2" s="147" t="s">
        <v>166</v>
      </c>
      <c r="B2" s="137" t="s">
        <v>167</v>
      </c>
      <c r="C2" s="138"/>
      <c r="D2" s="138"/>
      <c r="E2" s="138">
        <v>2</v>
      </c>
      <c r="F2" s="138"/>
      <c r="G2" s="138">
        <v>1</v>
      </c>
      <c r="H2" s="138"/>
      <c r="I2" s="139">
        <f aca="true" t="shared" si="0" ref="I2:I33">SUM(C2,D2,E2,F2,G2,H2)</f>
        <v>3</v>
      </c>
      <c r="J2" s="128"/>
      <c r="K2" s="151">
        <f>RANK(I2,I2:I161)</f>
        <v>9</v>
      </c>
      <c r="L2" s="152">
        <f aca="true" t="shared" si="1" ref="L2:L33">IF(K2=1,A2,"")</f>
      </c>
    </row>
    <row r="3" spans="1:12" ht="24.75" customHeight="1">
      <c r="A3" s="148" t="s">
        <v>142</v>
      </c>
      <c r="B3" s="135" t="s">
        <v>136</v>
      </c>
      <c r="C3" s="130">
        <v>4</v>
      </c>
      <c r="D3" s="130"/>
      <c r="E3" s="130">
        <v>2</v>
      </c>
      <c r="F3" s="130"/>
      <c r="G3" s="130"/>
      <c r="H3" s="130"/>
      <c r="I3" s="132">
        <f t="shared" si="0"/>
        <v>6</v>
      </c>
      <c r="J3" s="128"/>
      <c r="K3" s="151">
        <f>RANK(I3,I2:I161)</f>
        <v>1</v>
      </c>
      <c r="L3" s="152" t="str">
        <f t="shared" si="1"/>
        <v>Kučera</v>
      </c>
    </row>
    <row r="4" spans="1:12" ht="24.75" customHeight="1">
      <c r="A4" s="148" t="s">
        <v>143</v>
      </c>
      <c r="B4" s="135" t="s">
        <v>136</v>
      </c>
      <c r="C4" s="130">
        <v>1</v>
      </c>
      <c r="D4" s="130"/>
      <c r="E4" s="130"/>
      <c r="F4" s="130"/>
      <c r="G4" s="130"/>
      <c r="H4" s="130"/>
      <c r="I4" s="132">
        <f t="shared" si="0"/>
        <v>1</v>
      </c>
      <c r="J4" s="128"/>
      <c r="K4" s="151">
        <f>RANK(I4,I2:I161)</f>
        <v>23</v>
      </c>
      <c r="L4" s="153">
        <f t="shared" si="1"/>
      </c>
    </row>
    <row r="5" spans="1:12" ht="24.75" customHeight="1">
      <c r="A5" s="148" t="s">
        <v>144</v>
      </c>
      <c r="B5" s="135" t="s">
        <v>136</v>
      </c>
      <c r="C5" s="130">
        <v>2</v>
      </c>
      <c r="D5" s="130"/>
      <c r="E5" s="130"/>
      <c r="F5" s="130"/>
      <c r="G5" s="130"/>
      <c r="H5" s="130"/>
      <c r="I5" s="132">
        <f t="shared" si="0"/>
        <v>2</v>
      </c>
      <c r="J5" s="128"/>
      <c r="K5" s="151">
        <f>RANK(I5,I2:I161)</f>
        <v>15</v>
      </c>
      <c r="L5" s="153">
        <f t="shared" si="1"/>
      </c>
    </row>
    <row r="6" spans="1:12" ht="24.75" customHeight="1">
      <c r="A6" s="148" t="s">
        <v>155</v>
      </c>
      <c r="B6" s="135" t="s">
        <v>122</v>
      </c>
      <c r="C6" s="130">
        <v>1</v>
      </c>
      <c r="D6" s="130"/>
      <c r="E6" s="130">
        <v>1</v>
      </c>
      <c r="F6" s="130"/>
      <c r="G6" s="130"/>
      <c r="H6" s="130"/>
      <c r="I6" s="132">
        <f t="shared" si="0"/>
        <v>2</v>
      </c>
      <c r="J6" s="128"/>
      <c r="K6" s="151">
        <f>RANK(I6,I2:I161)</f>
        <v>15</v>
      </c>
      <c r="L6" s="153">
        <f t="shared" si="1"/>
      </c>
    </row>
    <row r="7" spans="1:12" ht="24.75" customHeight="1">
      <c r="A7" s="148" t="s">
        <v>162</v>
      </c>
      <c r="B7" s="135" t="s">
        <v>163</v>
      </c>
      <c r="C7" s="130"/>
      <c r="D7" s="130">
        <v>1</v>
      </c>
      <c r="E7" s="130"/>
      <c r="F7" s="130"/>
      <c r="G7" s="130"/>
      <c r="H7" s="130"/>
      <c r="I7" s="132">
        <f t="shared" si="0"/>
        <v>1</v>
      </c>
      <c r="J7" s="128"/>
      <c r="K7" s="126">
        <f>RANK(I7,I2:I161)</f>
        <v>23</v>
      </c>
      <c r="L7" s="153">
        <f t="shared" si="1"/>
      </c>
    </row>
    <row r="8" spans="1:12" ht="24.75" customHeight="1">
      <c r="A8" s="148" t="s">
        <v>168</v>
      </c>
      <c r="B8" s="135" t="s">
        <v>163</v>
      </c>
      <c r="C8" s="130"/>
      <c r="D8" s="130"/>
      <c r="E8" s="130">
        <v>1</v>
      </c>
      <c r="F8" s="130"/>
      <c r="G8" s="130"/>
      <c r="H8" s="130"/>
      <c r="I8" s="132">
        <f t="shared" si="0"/>
        <v>1</v>
      </c>
      <c r="J8" s="128"/>
      <c r="K8" s="126">
        <f>RANK(I8,I2:I161)</f>
        <v>23</v>
      </c>
      <c r="L8" s="153">
        <f t="shared" si="1"/>
      </c>
    </row>
    <row r="9" spans="1:12" ht="24.75" customHeight="1">
      <c r="A9" s="148" t="s">
        <v>116</v>
      </c>
      <c r="B9" s="135" t="s">
        <v>132</v>
      </c>
      <c r="C9" s="130">
        <v>2</v>
      </c>
      <c r="D9" s="130"/>
      <c r="E9" s="130">
        <v>1</v>
      </c>
      <c r="F9" s="130"/>
      <c r="G9" s="130"/>
      <c r="H9" s="130"/>
      <c r="I9" s="132">
        <f t="shared" si="0"/>
        <v>3</v>
      </c>
      <c r="J9" s="128"/>
      <c r="K9" s="126">
        <f>RANK(I9,I2:I161)</f>
        <v>9</v>
      </c>
      <c r="L9" s="153">
        <f t="shared" si="1"/>
      </c>
    </row>
    <row r="10" spans="1:12" ht="24.75" customHeight="1">
      <c r="A10" s="148" t="s">
        <v>123</v>
      </c>
      <c r="B10" s="135" t="s">
        <v>127</v>
      </c>
      <c r="C10" s="130">
        <v>1</v>
      </c>
      <c r="D10" s="130"/>
      <c r="E10" s="130"/>
      <c r="F10" s="130"/>
      <c r="G10" s="130"/>
      <c r="H10" s="130"/>
      <c r="I10" s="132">
        <f t="shared" si="0"/>
        <v>1</v>
      </c>
      <c r="J10" s="128"/>
      <c r="K10" s="126">
        <f>RANK(I10,I2:I161)</f>
        <v>23</v>
      </c>
      <c r="L10" s="153">
        <f t="shared" si="1"/>
      </c>
    </row>
    <row r="11" spans="1:12" ht="24.75" customHeight="1">
      <c r="A11" s="148" t="s">
        <v>138</v>
      </c>
      <c r="B11" s="135" t="s">
        <v>110</v>
      </c>
      <c r="C11" s="130">
        <v>3</v>
      </c>
      <c r="D11" s="130"/>
      <c r="E11" s="130">
        <v>2</v>
      </c>
      <c r="F11" s="130"/>
      <c r="G11" s="130">
        <v>1</v>
      </c>
      <c r="H11" s="130"/>
      <c r="I11" s="132">
        <f t="shared" si="0"/>
        <v>6</v>
      </c>
      <c r="J11" s="128"/>
      <c r="K11" s="126">
        <f>RANK(I11,I2:I161)</f>
        <v>1</v>
      </c>
      <c r="L11" s="153" t="str">
        <f t="shared" si="1"/>
        <v>Macháček</v>
      </c>
    </row>
    <row r="12" spans="1:12" ht="24.75" customHeight="1">
      <c r="A12" s="148" t="s">
        <v>125</v>
      </c>
      <c r="B12" s="135" t="s">
        <v>110</v>
      </c>
      <c r="C12" s="130">
        <v>1</v>
      </c>
      <c r="D12" s="130"/>
      <c r="E12" s="130">
        <v>2</v>
      </c>
      <c r="F12" s="130">
        <v>1</v>
      </c>
      <c r="G12" s="130"/>
      <c r="H12" s="130"/>
      <c r="I12" s="132">
        <f t="shared" si="0"/>
        <v>4</v>
      </c>
      <c r="J12" s="128"/>
      <c r="K12" s="126">
        <f>RANK(I12,I2:I161)</f>
        <v>6</v>
      </c>
      <c r="L12" s="153">
        <f t="shared" si="1"/>
      </c>
    </row>
    <row r="13" spans="1:12" ht="24.75" customHeight="1">
      <c r="A13" s="148" t="s">
        <v>139</v>
      </c>
      <c r="B13" s="135" t="s">
        <v>110</v>
      </c>
      <c r="C13" s="130">
        <v>2</v>
      </c>
      <c r="D13" s="130"/>
      <c r="E13" s="130"/>
      <c r="F13" s="130"/>
      <c r="G13" s="130"/>
      <c r="H13" s="130"/>
      <c r="I13" s="132">
        <f t="shared" si="0"/>
        <v>2</v>
      </c>
      <c r="J13" s="128"/>
      <c r="K13" s="126">
        <f>RANK(I13,I2:I161)</f>
        <v>15</v>
      </c>
      <c r="L13" s="153">
        <f t="shared" si="1"/>
      </c>
    </row>
    <row r="14" spans="1:12" ht="24.75" customHeight="1">
      <c r="A14" s="148" t="s">
        <v>140</v>
      </c>
      <c r="B14" s="135" t="s">
        <v>110</v>
      </c>
      <c r="C14" s="130">
        <v>1</v>
      </c>
      <c r="D14" s="130"/>
      <c r="E14" s="130"/>
      <c r="F14" s="130"/>
      <c r="G14" s="130"/>
      <c r="H14" s="130"/>
      <c r="I14" s="132">
        <f t="shared" si="0"/>
        <v>1</v>
      </c>
      <c r="J14" s="128"/>
      <c r="K14" s="126">
        <f>RANK(I14,I2:I161)</f>
        <v>23</v>
      </c>
      <c r="L14" s="153">
        <f t="shared" si="1"/>
      </c>
    </row>
    <row r="15" spans="1:12" ht="24.75" customHeight="1">
      <c r="A15" s="148" t="s">
        <v>164</v>
      </c>
      <c r="B15" s="135" t="s">
        <v>165</v>
      </c>
      <c r="C15" s="130"/>
      <c r="D15" s="130"/>
      <c r="E15" s="130">
        <v>3</v>
      </c>
      <c r="F15" s="130"/>
      <c r="G15" s="130"/>
      <c r="H15" s="130"/>
      <c r="I15" s="132">
        <f t="shared" si="0"/>
        <v>3</v>
      </c>
      <c r="J15" s="128"/>
      <c r="K15" s="126">
        <f>RANK(I15,I2:I161)</f>
        <v>9</v>
      </c>
      <c r="L15" s="153">
        <f t="shared" si="1"/>
      </c>
    </row>
    <row r="16" spans="1:12" ht="24.75" customHeight="1">
      <c r="A16" s="148" t="s">
        <v>115</v>
      </c>
      <c r="B16" s="135" t="s">
        <v>165</v>
      </c>
      <c r="C16" s="130"/>
      <c r="D16" s="130"/>
      <c r="E16" s="130"/>
      <c r="F16" s="130"/>
      <c r="G16" s="130"/>
      <c r="H16" s="130"/>
      <c r="I16" s="132">
        <f t="shared" si="0"/>
        <v>0</v>
      </c>
      <c r="J16" s="128"/>
      <c r="K16" s="126">
        <f>RANK(I16,I2:I161)</f>
        <v>44</v>
      </c>
      <c r="L16" s="153">
        <f t="shared" si="1"/>
      </c>
    </row>
    <row r="17" spans="1:12" ht="24.75" customHeight="1">
      <c r="A17" s="148" t="s">
        <v>146</v>
      </c>
      <c r="B17" s="135" t="s">
        <v>147</v>
      </c>
      <c r="C17" s="130">
        <v>2</v>
      </c>
      <c r="D17" s="130"/>
      <c r="E17" s="130"/>
      <c r="F17" s="130"/>
      <c r="G17" s="130"/>
      <c r="H17" s="130"/>
      <c r="I17" s="132">
        <f t="shared" si="0"/>
        <v>2</v>
      </c>
      <c r="J17" s="128"/>
      <c r="K17" s="126">
        <f>RANK(I17,I2:I161)</f>
        <v>15</v>
      </c>
      <c r="L17" s="153">
        <f t="shared" si="1"/>
      </c>
    </row>
    <row r="18" spans="1:12" ht="24.75" customHeight="1">
      <c r="A18" s="148" t="s">
        <v>138</v>
      </c>
      <c r="B18" s="135" t="s">
        <v>147</v>
      </c>
      <c r="C18" s="130">
        <v>1</v>
      </c>
      <c r="D18" s="130"/>
      <c r="E18" s="130"/>
      <c r="F18" s="130"/>
      <c r="G18" s="130"/>
      <c r="H18" s="130"/>
      <c r="I18" s="132">
        <f t="shared" si="0"/>
        <v>1</v>
      </c>
      <c r="J18" s="128"/>
      <c r="K18" s="126">
        <f>RANK(I18,I2:I161)</f>
        <v>23</v>
      </c>
      <c r="L18" s="153">
        <f t="shared" si="1"/>
      </c>
    </row>
    <row r="19" spans="1:12" ht="24.75" customHeight="1">
      <c r="A19" s="148" t="s">
        <v>118</v>
      </c>
      <c r="B19" s="135" t="s">
        <v>147</v>
      </c>
      <c r="C19" s="130">
        <v>2</v>
      </c>
      <c r="D19" s="130"/>
      <c r="E19" s="130"/>
      <c r="F19" s="130"/>
      <c r="G19" s="130"/>
      <c r="H19" s="130"/>
      <c r="I19" s="132">
        <f t="shared" si="0"/>
        <v>2</v>
      </c>
      <c r="J19" s="128"/>
      <c r="K19" s="126">
        <f>RANK(I19,I2:I161)</f>
        <v>15</v>
      </c>
      <c r="L19" s="153">
        <f t="shared" si="1"/>
      </c>
    </row>
    <row r="20" spans="1:12" ht="24.75" customHeight="1">
      <c r="A20" s="148" t="s">
        <v>141</v>
      </c>
      <c r="B20" s="135" t="s">
        <v>112</v>
      </c>
      <c r="C20" s="130">
        <v>1</v>
      </c>
      <c r="D20" s="130"/>
      <c r="E20" s="130"/>
      <c r="F20" s="130"/>
      <c r="G20" s="130"/>
      <c r="H20" s="130"/>
      <c r="I20" s="132">
        <f t="shared" si="0"/>
        <v>1</v>
      </c>
      <c r="J20" s="128"/>
      <c r="K20" s="126">
        <f>RANK(I20,I2:I161)</f>
        <v>23</v>
      </c>
      <c r="L20" s="153">
        <f t="shared" si="1"/>
      </c>
    </row>
    <row r="21" spans="1:12" ht="24.75" customHeight="1">
      <c r="A21" s="148" t="s">
        <v>126</v>
      </c>
      <c r="B21" s="135" t="s">
        <v>112</v>
      </c>
      <c r="C21" s="130">
        <v>1</v>
      </c>
      <c r="D21" s="130"/>
      <c r="E21" s="130"/>
      <c r="F21" s="130"/>
      <c r="G21" s="130"/>
      <c r="H21" s="130"/>
      <c r="I21" s="132">
        <f t="shared" si="0"/>
        <v>1</v>
      </c>
      <c r="J21" s="128"/>
      <c r="K21" s="126">
        <f>RANK(I21,I2:I161)</f>
        <v>23</v>
      </c>
      <c r="L21" s="153">
        <f t="shared" si="1"/>
      </c>
    </row>
    <row r="22" spans="1:12" ht="24.75" customHeight="1">
      <c r="A22" s="148" t="s">
        <v>124</v>
      </c>
      <c r="B22" s="135" t="s">
        <v>112</v>
      </c>
      <c r="C22" s="130">
        <v>1</v>
      </c>
      <c r="D22" s="130"/>
      <c r="E22" s="130"/>
      <c r="F22" s="130"/>
      <c r="G22" s="130"/>
      <c r="H22" s="130"/>
      <c r="I22" s="132">
        <f t="shared" si="0"/>
        <v>1</v>
      </c>
      <c r="J22" s="128"/>
      <c r="K22" s="126">
        <f>RANK(I22,I2:I161)</f>
        <v>23</v>
      </c>
      <c r="L22" s="153">
        <f t="shared" si="1"/>
      </c>
    </row>
    <row r="23" spans="1:12" ht="24.75" customHeight="1">
      <c r="A23" s="148" t="s">
        <v>151</v>
      </c>
      <c r="B23" s="135" t="s">
        <v>152</v>
      </c>
      <c r="C23" s="130">
        <v>1</v>
      </c>
      <c r="D23" s="130"/>
      <c r="E23" s="130"/>
      <c r="F23" s="130"/>
      <c r="G23" s="130"/>
      <c r="H23" s="130"/>
      <c r="I23" s="132">
        <f t="shared" si="0"/>
        <v>1</v>
      </c>
      <c r="J23" s="128"/>
      <c r="K23" s="126">
        <f>RANK(I23,I2:I161)</f>
        <v>23</v>
      </c>
      <c r="L23" s="153">
        <f t="shared" si="1"/>
      </c>
    </row>
    <row r="24" spans="1:12" ht="24.75" customHeight="1">
      <c r="A24" s="148" t="s">
        <v>158</v>
      </c>
      <c r="B24" s="135" t="s">
        <v>159</v>
      </c>
      <c r="C24" s="130">
        <v>2</v>
      </c>
      <c r="D24" s="130"/>
      <c r="E24" s="130">
        <v>1</v>
      </c>
      <c r="F24" s="130"/>
      <c r="G24" s="130"/>
      <c r="H24" s="130"/>
      <c r="I24" s="132">
        <f t="shared" si="0"/>
        <v>3</v>
      </c>
      <c r="J24" s="128"/>
      <c r="K24" s="126">
        <f>RANK(I24,I2:I161)</f>
        <v>9</v>
      </c>
      <c r="L24" s="153">
        <f t="shared" si="1"/>
      </c>
    </row>
    <row r="25" spans="1:12" ht="24.75" customHeight="1">
      <c r="A25" s="148" t="s">
        <v>160</v>
      </c>
      <c r="B25" s="135" t="s">
        <v>159</v>
      </c>
      <c r="C25" s="130">
        <v>1</v>
      </c>
      <c r="D25" s="130"/>
      <c r="E25" s="130"/>
      <c r="F25" s="130">
        <v>1</v>
      </c>
      <c r="G25" s="130"/>
      <c r="H25" s="130"/>
      <c r="I25" s="132">
        <f t="shared" si="0"/>
        <v>2</v>
      </c>
      <c r="J25" s="128"/>
      <c r="K25" s="126">
        <f>RANK(I25,I2:I161)</f>
        <v>15</v>
      </c>
      <c r="L25" s="153">
        <f t="shared" si="1"/>
      </c>
    </row>
    <row r="26" spans="1:12" ht="24.75" customHeight="1">
      <c r="A26" s="148" t="s">
        <v>120</v>
      </c>
      <c r="B26" s="135" t="s">
        <v>159</v>
      </c>
      <c r="C26" s="130">
        <v>2</v>
      </c>
      <c r="D26" s="130"/>
      <c r="E26" s="130">
        <v>1</v>
      </c>
      <c r="F26" s="130"/>
      <c r="G26" s="130"/>
      <c r="H26" s="130"/>
      <c r="I26" s="132">
        <f t="shared" si="0"/>
        <v>3</v>
      </c>
      <c r="J26" s="128"/>
      <c r="K26" s="126">
        <f>RANK(I26,I2:I161)</f>
        <v>9</v>
      </c>
      <c r="L26" s="153">
        <f t="shared" si="1"/>
      </c>
    </row>
    <row r="27" spans="1:12" ht="24.75" customHeight="1">
      <c r="A27" s="148" t="s">
        <v>148</v>
      </c>
      <c r="B27" s="135" t="s">
        <v>137</v>
      </c>
      <c r="C27" s="130">
        <v>1</v>
      </c>
      <c r="D27" s="130"/>
      <c r="E27" s="130"/>
      <c r="F27" s="130"/>
      <c r="G27" s="130"/>
      <c r="H27" s="130"/>
      <c r="I27" s="132">
        <f t="shared" si="0"/>
        <v>1</v>
      </c>
      <c r="J27" s="128"/>
      <c r="K27" s="126">
        <f>RANK(I27,I2:I161)</f>
        <v>23</v>
      </c>
      <c r="L27" s="153">
        <f t="shared" si="1"/>
      </c>
    </row>
    <row r="28" spans="1:12" ht="24.75" customHeight="1">
      <c r="A28" s="148" t="s">
        <v>149</v>
      </c>
      <c r="B28" s="135" t="s">
        <v>137</v>
      </c>
      <c r="C28" s="130">
        <v>1</v>
      </c>
      <c r="D28" s="130"/>
      <c r="E28" s="130"/>
      <c r="F28" s="130"/>
      <c r="G28" s="130"/>
      <c r="H28" s="130"/>
      <c r="I28" s="132">
        <f t="shared" si="0"/>
        <v>1</v>
      </c>
      <c r="J28" s="128"/>
      <c r="K28" s="126">
        <f>RANK(I28,I2:I161)</f>
        <v>23</v>
      </c>
      <c r="L28" s="153">
        <f t="shared" si="1"/>
      </c>
    </row>
    <row r="29" spans="1:12" ht="24.75" customHeight="1">
      <c r="A29" s="148" t="s">
        <v>150</v>
      </c>
      <c r="B29" s="135" t="s">
        <v>137</v>
      </c>
      <c r="C29" s="130">
        <v>1</v>
      </c>
      <c r="D29" s="130"/>
      <c r="E29" s="130"/>
      <c r="F29" s="130"/>
      <c r="G29" s="130"/>
      <c r="H29" s="130"/>
      <c r="I29" s="132">
        <f t="shared" si="0"/>
        <v>1</v>
      </c>
      <c r="J29" s="128"/>
      <c r="K29" s="126">
        <f>RANK(I29,I2:I161)</f>
        <v>23</v>
      </c>
      <c r="L29" s="153">
        <f t="shared" si="1"/>
      </c>
    </row>
    <row r="30" spans="1:12" ht="24.75" customHeight="1">
      <c r="A30" s="148" t="s">
        <v>119</v>
      </c>
      <c r="B30" s="135" t="s">
        <v>137</v>
      </c>
      <c r="C30" s="130">
        <v>1</v>
      </c>
      <c r="D30" s="130"/>
      <c r="E30" s="130"/>
      <c r="F30" s="130"/>
      <c r="G30" s="130"/>
      <c r="H30" s="130"/>
      <c r="I30" s="132">
        <f t="shared" si="0"/>
        <v>1</v>
      </c>
      <c r="J30" s="128"/>
      <c r="K30" s="126">
        <f>RANK(I30,I2:I161)</f>
        <v>23</v>
      </c>
      <c r="L30" s="153">
        <f t="shared" si="1"/>
      </c>
    </row>
    <row r="31" spans="1:12" ht="24.75" customHeight="1">
      <c r="A31" s="148" t="s">
        <v>161</v>
      </c>
      <c r="B31" s="135" t="s">
        <v>137</v>
      </c>
      <c r="C31" s="130"/>
      <c r="D31" s="130">
        <v>1</v>
      </c>
      <c r="E31" s="130">
        <v>2</v>
      </c>
      <c r="F31" s="130"/>
      <c r="G31" s="130">
        <v>1</v>
      </c>
      <c r="H31" s="130"/>
      <c r="I31" s="132">
        <f t="shared" si="0"/>
        <v>4</v>
      </c>
      <c r="J31" s="128"/>
      <c r="K31" s="126">
        <f>RANK(I31,I2:I161)</f>
        <v>6</v>
      </c>
      <c r="L31" s="153">
        <f t="shared" si="1"/>
      </c>
    </row>
    <row r="32" spans="1:12" ht="24.75" customHeight="1">
      <c r="A32" s="148" t="s">
        <v>145</v>
      </c>
      <c r="B32" s="135" t="s">
        <v>134</v>
      </c>
      <c r="C32" s="130">
        <v>2</v>
      </c>
      <c r="D32" s="130">
        <v>3</v>
      </c>
      <c r="E32" s="130"/>
      <c r="F32" s="130"/>
      <c r="G32" s="130"/>
      <c r="H32" s="130"/>
      <c r="I32" s="132">
        <f t="shared" si="0"/>
        <v>5</v>
      </c>
      <c r="J32" s="128"/>
      <c r="K32" s="126">
        <f>RANK(I32,I2:I161)</f>
        <v>4</v>
      </c>
      <c r="L32" s="153">
        <f t="shared" si="1"/>
      </c>
    </row>
    <row r="33" spans="1:12" ht="24.75" customHeight="1">
      <c r="A33" s="148" t="s">
        <v>156</v>
      </c>
      <c r="B33" s="135" t="s">
        <v>157</v>
      </c>
      <c r="C33" s="130">
        <v>1</v>
      </c>
      <c r="D33" s="130"/>
      <c r="E33" s="130">
        <v>1</v>
      </c>
      <c r="F33" s="130"/>
      <c r="G33" s="130"/>
      <c r="H33" s="130"/>
      <c r="I33" s="132">
        <f t="shared" si="0"/>
        <v>2</v>
      </c>
      <c r="J33" s="128"/>
      <c r="K33" s="126">
        <f>RANK(I33,I2:I161)</f>
        <v>15</v>
      </c>
      <c r="L33" s="153">
        <f t="shared" si="1"/>
      </c>
    </row>
    <row r="34" spans="1:12" ht="24.75" customHeight="1">
      <c r="A34" s="148" t="s">
        <v>114</v>
      </c>
      <c r="B34" s="135" t="s">
        <v>133</v>
      </c>
      <c r="C34" s="130">
        <v>1</v>
      </c>
      <c r="D34" s="130"/>
      <c r="E34" s="130"/>
      <c r="F34" s="130"/>
      <c r="G34" s="130"/>
      <c r="H34" s="130"/>
      <c r="I34" s="132">
        <f aca="true" t="shared" si="2" ref="I34:I65">SUM(C34,D34,E34,F34,G34,H34)</f>
        <v>1</v>
      </c>
      <c r="J34" s="128"/>
      <c r="K34" s="126">
        <f>RANK(I34,I2:I161)</f>
        <v>23</v>
      </c>
      <c r="L34" s="153">
        <f aca="true" t="shared" si="3" ref="L34:L65">IF(K34=1,A34,"")</f>
      </c>
    </row>
    <row r="35" spans="1:12" ht="24.75" customHeight="1">
      <c r="A35" s="148" t="s">
        <v>121</v>
      </c>
      <c r="B35" s="135" t="s">
        <v>133</v>
      </c>
      <c r="C35" s="130">
        <v>1</v>
      </c>
      <c r="D35" s="130"/>
      <c r="E35" s="130"/>
      <c r="F35" s="130">
        <v>1</v>
      </c>
      <c r="G35" s="130"/>
      <c r="H35" s="130">
        <v>1</v>
      </c>
      <c r="I35" s="132">
        <f t="shared" si="2"/>
        <v>3</v>
      </c>
      <c r="J35" s="128"/>
      <c r="K35" s="126">
        <f>RANK(I35,I2:I161)</f>
        <v>9</v>
      </c>
      <c r="L35" s="153">
        <f t="shared" si="3"/>
      </c>
    </row>
    <row r="36" spans="1:12" ht="24.75" customHeight="1">
      <c r="A36" s="148" t="s">
        <v>153</v>
      </c>
      <c r="B36" s="135" t="s">
        <v>133</v>
      </c>
      <c r="C36" s="130">
        <v>3</v>
      </c>
      <c r="D36" s="130"/>
      <c r="E36" s="130"/>
      <c r="F36" s="130">
        <v>2</v>
      </c>
      <c r="G36" s="130"/>
      <c r="H36" s="130">
        <v>1</v>
      </c>
      <c r="I36" s="132">
        <f t="shared" si="2"/>
        <v>6</v>
      </c>
      <c r="J36" s="128"/>
      <c r="K36" s="126">
        <f>RANK(I36,I2:I161)</f>
        <v>1</v>
      </c>
      <c r="L36" s="153" t="str">
        <f t="shared" si="3"/>
        <v>Nobst</v>
      </c>
    </row>
    <row r="37" spans="1:12" ht="24.75" customHeight="1">
      <c r="A37" s="148" t="s">
        <v>154</v>
      </c>
      <c r="B37" s="135" t="s">
        <v>133</v>
      </c>
      <c r="C37" s="130">
        <v>3</v>
      </c>
      <c r="D37" s="130"/>
      <c r="E37" s="130"/>
      <c r="F37" s="130">
        <v>1</v>
      </c>
      <c r="G37" s="130"/>
      <c r="H37" s="130"/>
      <c r="I37" s="132">
        <f t="shared" si="2"/>
        <v>4</v>
      </c>
      <c r="J37" s="128"/>
      <c r="K37" s="126">
        <f>RANK(I37,I2:I161)</f>
        <v>6</v>
      </c>
      <c r="L37" s="153">
        <f t="shared" si="3"/>
      </c>
    </row>
    <row r="38" spans="1:12" ht="24.75" customHeight="1">
      <c r="A38" s="148" t="s">
        <v>117</v>
      </c>
      <c r="B38" s="135" t="s">
        <v>133</v>
      </c>
      <c r="C38" s="130">
        <v>1</v>
      </c>
      <c r="D38" s="130"/>
      <c r="E38" s="130">
        <v>2</v>
      </c>
      <c r="F38" s="130">
        <v>2</v>
      </c>
      <c r="G38" s="130"/>
      <c r="H38" s="130"/>
      <c r="I38" s="132">
        <f t="shared" si="2"/>
        <v>5</v>
      </c>
      <c r="J38" s="128"/>
      <c r="K38" s="126">
        <f>RANK(I38,I2:I161)</f>
        <v>4</v>
      </c>
      <c r="L38" s="153">
        <f t="shared" si="3"/>
      </c>
    </row>
    <row r="39" spans="1:12" ht="24.75" customHeight="1">
      <c r="A39" s="148" t="s">
        <v>169</v>
      </c>
      <c r="B39" s="135" t="s">
        <v>170</v>
      </c>
      <c r="C39" s="130"/>
      <c r="D39" s="130"/>
      <c r="E39" s="130">
        <v>1</v>
      </c>
      <c r="F39" s="130"/>
      <c r="G39" s="130"/>
      <c r="H39" s="130"/>
      <c r="I39" s="132">
        <f t="shared" si="2"/>
        <v>1</v>
      </c>
      <c r="J39" s="128"/>
      <c r="K39" s="126">
        <f>RANK(I39,I2:I161)</f>
        <v>23</v>
      </c>
      <c r="L39" s="153">
        <f t="shared" si="3"/>
      </c>
    </row>
    <row r="40" spans="1:12" ht="24.75" customHeight="1">
      <c r="A40" s="148" t="s">
        <v>171</v>
      </c>
      <c r="B40" s="135" t="s">
        <v>172</v>
      </c>
      <c r="C40" s="130"/>
      <c r="D40" s="130"/>
      <c r="E40" s="130">
        <v>1</v>
      </c>
      <c r="F40" s="130"/>
      <c r="G40" s="130"/>
      <c r="H40" s="130"/>
      <c r="I40" s="132">
        <f t="shared" si="2"/>
        <v>1</v>
      </c>
      <c r="J40" s="128"/>
      <c r="K40" s="126">
        <f>RANK(I40,I2:I161)</f>
        <v>23</v>
      </c>
      <c r="L40" s="153">
        <f t="shared" si="3"/>
      </c>
    </row>
    <row r="41" spans="1:12" ht="24.75" customHeight="1">
      <c r="A41" s="148" t="s">
        <v>173</v>
      </c>
      <c r="B41" s="135" t="s">
        <v>129</v>
      </c>
      <c r="C41" s="130"/>
      <c r="D41" s="130"/>
      <c r="E41" s="130">
        <v>1</v>
      </c>
      <c r="F41" s="130"/>
      <c r="G41" s="130"/>
      <c r="H41" s="130"/>
      <c r="I41" s="132">
        <f t="shared" si="2"/>
        <v>1</v>
      </c>
      <c r="J41" s="128"/>
      <c r="K41" s="126">
        <f>RANK(I41,I2:I161)</f>
        <v>23</v>
      </c>
      <c r="L41" s="153">
        <f t="shared" si="3"/>
      </c>
    </row>
    <row r="42" spans="1:12" ht="24.75" customHeight="1">
      <c r="A42" s="148" t="s">
        <v>174</v>
      </c>
      <c r="B42" s="135" t="s">
        <v>175</v>
      </c>
      <c r="C42" s="130"/>
      <c r="D42" s="130"/>
      <c r="E42" s="130"/>
      <c r="F42" s="130">
        <v>1</v>
      </c>
      <c r="G42" s="130"/>
      <c r="H42" s="130"/>
      <c r="I42" s="132">
        <f t="shared" si="2"/>
        <v>1</v>
      </c>
      <c r="J42" s="128"/>
      <c r="K42" s="126">
        <f>RANK(I42,I2:I161)</f>
        <v>23</v>
      </c>
      <c r="L42" s="153">
        <f t="shared" si="3"/>
      </c>
    </row>
    <row r="43" spans="1:12" ht="24.75" customHeight="1">
      <c r="A43" s="148" t="s">
        <v>176</v>
      </c>
      <c r="B43" s="135" t="s">
        <v>134</v>
      </c>
      <c r="C43" s="130"/>
      <c r="D43" s="130"/>
      <c r="E43" s="130"/>
      <c r="F43" s="130">
        <v>1</v>
      </c>
      <c r="G43" s="130"/>
      <c r="H43" s="130"/>
      <c r="I43" s="132">
        <f t="shared" si="2"/>
        <v>1</v>
      </c>
      <c r="J43" s="128"/>
      <c r="K43" s="126">
        <f>RANK(I43,I2:I161)</f>
        <v>23</v>
      </c>
      <c r="L43" s="153">
        <f t="shared" si="3"/>
      </c>
    </row>
    <row r="44" spans="1:12" ht="24.75" customHeight="1">
      <c r="A44" s="148" t="s">
        <v>177</v>
      </c>
      <c r="B44" s="135" t="s">
        <v>178</v>
      </c>
      <c r="C44" s="130"/>
      <c r="D44" s="130"/>
      <c r="E44" s="130"/>
      <c r="F44" s="130">
        <v>2</v>
      </c>
      <c r="G44" s="130"/>
      <c r="H44" s="130"/>
      <c r="I44" s="132">
        <f t="shared" si="2"/>
        <v>2</v>
      </c>
      <c r="J44" s="128"/>
      <c r="K44" s="126">
        <f>RANK(I44,I2:I161)</f>
        <v>15</v>
      </c>
      <c r="L44" s="153">
        <f t="shared" si="3"/>
      </c>
    </row>
    <row r="45" spans="1:12" ht="24.75" customHeight="1">
      <c r="A45" s="148" t="s">
        <v>179</v>
      </c>
      <c r="B45" s="135" t="s">
        <v>178</v>
      </c>
      <c r="C45" s="130"/>
      <c r="D45" s="130"/>
      <c r="E45" s="130"/>
      <c r="F45" s="130">
        <v>1</v>
      </c>
      <c r="G45" s="130"/>
      <c r="H45" s="130"/>
      <c r="I45" s="132">
        <f t="shared" si="2"/>
        <v>1</v>
      </c>
      <c r="J45" s="128"/>
      <c r="K45" s="126">
        <f>RANK(I45,I2:I161)</f>
        <v>23</v>
      </c>
      <c r="L45" s="153">
        <f t="shared" si="3"/>
      </c>
    </row>
    <row r="46" spans="1:12" ht="24.75" customHeight="1">
      <c r="A46" s="148"/>
      <c r="B46" s="135"/>
      <c r="C46" s="130"/>
      <c r="D46" s="130"/>
      <c r="E46" s="130"/>
      <c r="F46" s="130"/>
      <c r="G46" s="130"/>
      <c r="H46" s="130"/>
      <c r="I46" s="132">
        <f t="shared" si="2"/>
        <v>0</v>
      </c>
      <c r="J46" s="128"/>
      <c r="K46" s="126">
        <f>RANK(I46,I2:I161)</f>
        <v>44</v>
      </c>
      <c r="L46" s="153">
        <f t="shared" si="3"/>
      </c>
    </row>
    <row r="47" spans="1:12" ht="24.75" customHeight="1">
      <c r="A47" s="148"/>
      <c r="B47" s="135"/>
      <c r="C47" s="130"/>
      <c r="D47" s="130"/>
      <c r="E47" s="130"/>
      <c r="F47" s="130"/>
      <c r="G47" s="130"/>
      <c r="H47" s="130"/>
      <c r="I47" s="132">
        <f t="shared" si="2"/>
        <v>0</v>
      </c>
      <c r="J47" s="128"/>
      <c r="K47" s="126">
        <f>RANK(I47,I2:I161)</f>
        <v>44</v>
      </c>
      <c r="L47" s="153">
        <f t="shared" si="3"/>
      </c>
    </row>
    <row r="48" spans="1:12" ht="24.75" customHeight="1">
      <c r="A48" s="148"/>
      <c r="B48" s="135"/>
      <c r="C48" s="130"/>
      <c r="D48" s="130"/>
      <c r="E48" s="130"/>
      <c r="F48" s="130"/>
      <c r="G48" s="130"/>
      <c r="H48" s="130"/>
      <c r="I48" s="132">
        <f t="shared" si="2"/>
        <v>0</v>
      </c>
      <c r="J48" s="128"/>
      <c r="K48" s="126">
        <f>RANK(I48,I2:I161)</f>
        <v>44</v>
      </c>
      <c r="L48" s="153">
        <f t="shared" si="3"/>
      </c>
    </row>
    <row r="49" spans="1:12" ht="24.75" customHeight="1">
      <c r="A49" s="148"/>
      <c r="B49" s="135"/>
      <c r="C49" s="130"/>
      <c r="D49" s="130"/>
      <c r="E49" s="130"/>
      <c r="F49" s="130"/>
      <c r="G49" s="130"/>
      <c r="H49" s="130"/>
      <c r="I49" s="132">
        <f t="shared" si="2"/>
        <v>0</v>
      </c>
      <c r="J49" s="128"/>
      <c r="K49" s="126">
        <f>RANK(I49,I2:I161)</f>
        <v>44</v>
      </c>
      <c r="L49" s="153">
        <f t="shared" si="3"/>
      </c>
    </row>
    <row r="50" spans="1:12" ht="24.75" customHeight="1">
      <c r="A50" s="148"/>
      <c r="B50" s="135"/>
      <c r="C50" s="130"/>
      <c r="D50" s="130"/>
      <c r="E50" s="130"/>
      <c r="F50" s="130"/>
      <c r="G50" s="130"/>
      <c r="H50" s="130"/>
      <c r="I50" s="132">
        <f t="shared" si="2"/>
        <v>0</v>
      </c>
      <c r="J50" s="128"/>
      <c r="K50" s="126">
        <f>RANK(I50,I2:I161)</f>
        <v>44</v>
      </c>
      <c r="L50" s="153">
        <f t="shared" si="3"/>
      </c>
    </row>
    <row r="51" spans="1:12" ht="24.75" customHeight="1">
      <c r="A51" s="148"/>
      <c r="B51" s="135"/>
      <c r="C51" s="130"/>
      <c r="D51" s="130"/>
      <c r="E51" s="130"/>
      <c r="F51" s="130"/>
      <c r="G51" s="130"/>
      <c r="H51" s="130"/>
      <c r="I51" s="132">
        <f t="shared" si="2"/>
        <v>0</v>
      </c>
      <c r="J51" s="128"/>
      <c r="K51" s="126">
        <f>RANK(I51,I2:I161)</f>
        <v>44</v>
      </c>
      <c r="L51" s="153">
        <f t="shared" si="3"/>
      </c>
    </row>
    <row r="52" spans="1:12" ht="24.75" customHeight="1">
      <c r="A52" s="148"/>
      <c r="B52" s="135"/>
      <c r="C52" s="130"/>
      <c r="D52" s="130"/>
      <c r="E52" s="130"/>
      <c r="F52" s="130"/>
      <c r="G52" s="130"/>
      <c r="H52" s="130"/>
      <c r="I52" s="132">
        <f t="shared" si="2"/>
        <v>0</v>
      </c>
      <c r="J52" s="128"/>
      <c r="K52" s="126">
        <f>RANK(I52,I2:I161)</f>
        <v>44</v>
      </c>
      <c r="L52" s="153">
        <f t="shared" si="3"/>
      </c>
    </row>
    <row r="53" spans="1:12" ht="24.75" customHeight="1">
      <c r="A53" s="148"/>
      <c r="B53" s="135"/>
      <c r="C53" s="130"/>
      <c r="D53" s="130"/>
      <c r="E53" s="130"/>
      <c r="F53" s="130"/>
      <c r="G53" s="130"/>
      <c r="H53" s="130"/>
      <c r="I53" s="132">
        <f t="shared" si="2"/>
        <v>0</v>
      </c>
      <c r="J53" s="128"/>
      <c r="K53" s="126">
        <f>RANK(I53,I2:I161)</f>
        <v>44</v>
      </c>
      <c r="L53" s="153">
        <f t="shared" si="3"/>
      </c>
    </row>
    <row r="54" spans="1:12" ht="24.75" customHeight="1">
      <c r="A54" s="148"/>
      <c r="B54" s="135"/>
      <c r="C54" s="130"/>
      <c r="D54" s="130"/>
      <c r="E54" s="130"/>
      <c r="F54" s="130"/>
      <c r="G54" s="130"/>
      <c r="H54" s="130"/>
      <c r="I54" s="132">
        <f t="shared" si="2"/>
        <v>0</v>
      </c>
      <c r="J54" s="128"/>
      <c r="K54" s="126">
        <f>RANK(I54,I2:I161)</f>
        <v>44</v>
      </c>
      <c r="L54" s="153">
        <f t="shared" si="3"/>
      </c>
    </row>
    <row r="55" spans="1:12" ht="24.75" customHeight="1">
      <c r="A55" s="148"/>
      <c r="B55" s="135"/>
      <c r="C55" s="130"/>
      <c r="D55" s="130"/>
      <c r="E55" s="130"/>
      <c r="F55" s="130"/>
      <c r="G55" s="130"/>
      <c r="H55" s="130"/>
      <c r="I55" s="132">
        <f t="shared" si="2"/>
        <v>0</v>
      </c>
      <c r="J55" s="128"/>
      <c r="K55" s="126">
        <f>RANK(I55,I2:I161)</f>
        <v>44</v>
      </c>
      <c r="L55" s="153">
        <f t="shared" si="3"/>
      </c>
    </row>
    <row r="56" spans="1:12" ht="24.75" customHeight="1">
      <c r="A56" s="148"/>
      <c r="B56" s="135"/>
      <c r="C56" s="130"/>
      <c r="D56" s="130"/>
      <c r="E56" s="130"/>
      <c r="F56" s="130"/>
      <c r="G56" s="130"/>
      <c r="H56" s="130"/>
      <c r="I56" s="132">
        <f t="shared" si="2"/>
        <v>0</v>
      </c>
      <c r="J56" s="128"/>
      <c r="K56" s="126">
        <f>RANK(I56,I2:I161)</f>
        <v>44</v>
      </c>
      <c r="L56" s="153">
        <f t="shared" si="3"/>
      </c>
    </row>
    <row r="57" spans="1:12" ht="24.75" customHeight="1">
      <c r="A57" s="148"/>
      <c r="B57" s="135"/>
      <c r="C57" s="130"/>
      <c r="D57" s="130"/>
      <c r="E57" s="130"/>
      <c r="F57" s="130"/>
      <c r="G57" s="130"/>
      <c r="H57" s="130"/>
      <c r="I57" s="132">
        <f t="shared" si="2"/>
        <v>0</v>
      </c>
      <c r="J57" s="128"/>
      <c r="K57" s="126">
        <f>RANK(I57,I2:I161)</f>
        <v>44</v>
      </c>
      <c r="L57" s="153">
        <f t="shared" si="3"/>
      </c>
    </row>
    <row r="58" spans="1:12" ht="24.75" customHeight="1">
      <c r="A58" s="148"/>
      <c r="B58" s="135"/>
      <c r="C58" s="130"/>
      <c r="D58" s="130"/>
      <c r="E58" s="130"/>
      <c r="F58" s="130"/>
      <c r="G58" s="130"/>
      <c r="H58" s="130"/>
      <c r="I58" s="132">
        <f t="shared" si="2"/>
        <v>0</v>
      </c>
      <c r="J58" s="128"/>
      <c r="K58" s="126">
        <f>RANK(I58,I2:I161)</f>
        <v>44</v>
      </c>
      <c r="L58" s="153">
        <f t="shared" si="3"/>
      </c>
    </row>
    <row r="59" spans="1:12" ht="24.75" customHeight="1">
      <c r="A59" s="148"/>
      <c r="B59" s="135"/>
      <c r="C59" s="130"/>
      <c r="D59" s="130"/>
      <c r="E59" s="130"/>
      <c r="F59" s="130"/>
      <c r="G59" s="130"/>
      <c r="H59" s="130"/>
      <c r="I59" s="132">
        <f t="shared" si="2"/>
        <v>0</v>
      </c>
      <c r="J59" s="128"/>
      <c r="K59" s="126">
        <f>RANK(I59,I2:I161)</f>
        <v>44</v>
      </c>
      <c r="L59" s="153">
        <f t="shared" si="3"/>
      </c>
    </row>
    <row r="60" spans="1:12" ht="24.75" customHeight="1">
      <c r="A60" s="148"/>
      <c r="B60" s="135"/>
      <c r="C60" s="130"/>
      <c r="D60" s="130"/>
      <c r="E60" s="130"/>
      <c r="F60" s="130"/>
      <c r="G60" s="130"/>
      <c r="H60" s="130"/>
      <c r="I60" s="132">
        <f t="shared" si="2"/>
        <v>0</v>
      </c>
      <c r="J60" s="128"/>
      <c r="K60" s="126">
        <f>RANK(I60,I2:I161)</f>
        <v>44</v>
      </c>
      <c r="L60" s="153">
        <f t="shared" si="3"/>
      </c>
    </row>
    <row r="61" spans="1:12" ht="24.75" customHeight="1">
      <c r="A61" s="148"/>
      <c r="B61" s="135"/>
      <c r="C61" s="130"/>
      <c r="D61" s="130"/>
      <c r="E61" s="130"/>
      <c r="F61" s="130"/>
      <c r="G61" s="130"/>
      <c r="H61" s="130"/>
      <c r="I61" s="132">
        <f t="shared" si="2"/>
        <v>0</v>
      </c>
      <c r="J61" s="128"/>
      <c r="K61" s="126">
        <f>RANK(I61,I2:I161)</f>
        <v>44</v>
      </c>
      <c r="L61" s="153">
        <f t="shared" si="3"/>
      </c>
    </row>
    <row r="62" spans="1:12" ht="24.75" customHeight="1">
      <c r="A62" s="148"/>
      <c r="B62" s="135"/>
      <c r="C62" s="130"/>
      <c r="D62" s="130"/>
      <c r="E62" s="130"/>
      <c r="F62" s="130"/>
      <c r="G62" s="130"/>
      <c r="H62" s="130"/>
      <c r="I62" s="132">
        <f t="shared" si="2"/>
        <v>0</v>
      </c>
      <c r="J62" s="128"/>
      <c r="K62" s="126">
        <f>RANK(I62,I2:I161)</f>
        <v>44</v>
      </c>
      <c r="L62" s="153">
        <f t="shared" si="3"/>
      </c>
    </row>
    <row r="63" spans="1:12" ht="24.75" customHeight="1">
      <c r="A63" s="148"/>
      <c r="B63" s="135"/>
      <c r="C63" s="130"/>
      <c r="D63" s="130"/>
      <c r="E63" s="130"/>
      <c r="F63" s="130"/>
      <c r="G63" s="130"/>
      <c r="H63" s="130"/>
      <c r="I63" s="132">
        <f t="shared" si="2"/>
        <v>0</v>
      </c>
      <c r="J63" s="128"/>
      <c r="K63" s="126">
        <f>RANK(I63,I2:I161)</f>
        <v>44</v>
      </c>
      <c r="L63" s="153">
        <f t="shared" si="3"/>
      </c>
    </row>
    <row r="64" spans="1:12" ht="24.75" customHeight="1">
      <c r="A64" s="148"/>
      <c r="B64" s="135"/>
      <c r="C64" s="130"/>
      <c r="D64" s="130"/>
      <c r="E64" s="130"/>
      <c r="F64" s="130"/>
      <c r="G64" s="130"/>
      <c r="H64" s="130"/>
      <c r="I64" s="132">
        <f t="shared" si="2"/>
        <v>0</v>
      </c>
      <c r="J64" s="128"/>
      <c r="K64" s="126">
        <f>RANK(I64,I2:I161)</f>
        <v>44</v>
      </c>
      <c r="L64" s="153">
        <f t="shared" si="3"/>
      </c>
    </row>
    <row r="65" spans="1:12" ht="24.75" customHeight="1">
      <c r="A65" s="148"/>
      <c r="B65" s="135"/>
      <c r="C65" s="130"/>
      <c r="D65" s="130"/>
      <c r="E65" s="130"/>
      <c r="F65" s="130"/>
      <c r="G65" s="130"/>
      <c r="H65" s="130"/>
      <c r="I65" s="132">
        <f t="shared" si="2"/>
        <v>0</v>
      </c>
      <c r="J65" s="128"/>
      <c r="K65" s="126">
        <f>RANK(I65,I2:I161)</f>
        <v>44</v>
      </c>
      <c r="L65" s="153">
        <f t="shared" si="3"/>
      </c>
    </row>
    <row r="66" spans="1:12" ht="24.75" customHeight="1">
      <c r="A66" s="148"/>
      <c r="B66" s="135"/>
      <c r="C66" s="130"/>
      <c r="D66" s="130"/>
      <c r="E66" s="130"/>
      <c r="F66" s="130"/>
      <c r="G66" s="130"/>
      <c r="H66" s="130"/>
      <c r="I66" s="132">
        <f aca="true" t="shared" si="4" ref="I66:I97">SUM(C66,D66,E66,F66,G66,H66)</f>
        <v>0</v>
      </c>
      <c r="J66" s="128"/>
      <c r="K66" s="126">
        <f>RANK(I66,I2:I161)</f>
        <v>44</v>
      </c>
      <c r="L66" s="153">
        <f aca="true" t="shared" si="5" ref="L66:L97">IF(K66=1,A66,"")</f>
      </c>
    </row>
    <row r="67" spans="1:12" ht="24.75" customHeight="1">
      <c r="A67" s="148"/>
      <c r="B67" s="135"/>
      <c r="C67" s="130"/>
      <c r="D67" s="130"/>
      <c r="E67" s="130"/>
      <c r="F67" s="130"/>
      <c r="G67" s="130"/>
      <c r="H67" s="130"/>
      <c r="I67" s="132">
        <f t="shared" si="4"/>
        <v>0</v>
      </c>
      <c r="J67" s="128"/>
      <c r="K67" s="126">
        <f>RANK(I67,I2:I161)</f>
        <v>44</v>
      </c>
      <c r="L67" s="153">
        <f t="shared" si="5"/>
      </c>
    </row>
    <row r="68" spans="1:12" ht="24.75" customHeight="1">
      <c r="A68" s="148"/>
      <c r="B68" s="135"/>
      <c r="C68" s="130"/>
      <c r="D68" s="130"/>
      <c r="E68" s="130"/>
      <c r="F68" s="130"/>
      <c r="G68" s="130"/>
      <c r="H68" s="130"/>
      <c r="I68" s="132">
        <f t="shared" si="4"/>
        <v>0</v>
      </c>
      <c r="J68" s="128"/>
      <c r="K68" s="126">
        <f>RANK(I68,I2:I161)</f>
        <v>44</v>
      </c>
      <c r="L68" s="153">
        <f t="shared" si="5"/>
      </c>
    </row>
    <row r="69" spans="1:12" ht="24.75" customHeight="1">
      <c r="A69" s="148"/>
      <c r="B69" s="135"/>
      <c r="C69" s="130"/>
      <c r="D69" s="130"/>
      <c r="E69" s="130"/>
      <c r="F69" s="130"/>
      <c r="G69" s="130"/>
      <c r="H69" s="130"/>
      <c r="I69" s="132">
        <f t="shared" si="4"/>
        <v>0</v>
      </c>
      <c r="J69" s="128"/>
      <c r="K69" s="126">
        <f>RANK(I69,I2:I161)</f>
        <v>44</v>
      </c>
      <c r="L69" s="153">
        <f t="shared" si="5"/>
      </c>
    </row>
    <row r="70" spans="1:12" ht="24.75" customHeight="1">
      <c r="A70" s="148"/>
      <c r="B70" s="135"/>
      <c r="C70" s="130"/>
      <c r="D70" s="130"/>
      <c r="E70" s="130"/>
      <c r="F70" s="130"/>
      <c r="G70" s="130"/>
      <c r="H70" s="130"/>
      <c r="I70" s="132">
        <f t="shared" si="4"/>
        <v>0</v>
      </c>
      <c r="J70" s="128"/>
      <c r="K70" s="126">
        <f>RANK(I70,I2:I161)</f>
        <v>44</v>
      </c>
      <c r="L70" s="153">
        <f t="shared" si="5"/>
      </c>
    </row>
    <row r="71" spans="1:12" ht="24.75" customHeight="1">
      <c r="A71" s="148"/>
      <c r="B71" s="135"/>
      <c r="C71" s="130"/>
      <c r="D71" s="130"/>
      <c r="E71" s="130"/>
      <c r="F71" s="130"/>
      <c r="G71" s="130"/>
      <c r="H71" s="130"/>
      <c r="I71" s="132">
        <f t="shared" si="4"/>
        <v>0</v>
      </c>
      <c r="J71" s="128"/>
      <c r="K71" s="126">
        <f>RANK(I71,I2:I161)</f>
        <v>44</v>
      </c>
      <c r="L71" s="153">
        <f t="shared" si="5"/>
      </c>
    </row>
    <row r="72" spans="1:12" ht="24.75" customHeight="1">
      <c r="A72" s="148"/>
      <c r="B72" s="135"/>
      <c r="C72" s="130"/>
      <c r="D72" s="130"/>
      <c r="E72" s="130"/>
      <c r="F72" s="130"/>
      <c r="G72" s="130"/>
      <c r="H72" s="130"/>
      <c r="I72" s="132">
        <f t="shared" si="4"/>
        <v>0</v>
      </c>
      <c r="J72" s="128"/>
      <c r="K72" s="126">
        <f>RANK(I72,I2:I161)</f>
        <v>44</v>
      </c>
      <c r="L72" s="153">
        <f t="shared" si="5"/>
      </c>
    </row>
    <row r="73" spans="1:12" ht="24.75" customHeight="1">
      <c r="A73" s="148"/>
      <c r="B73" s="135"/>
      <c r="C73" s="130"/>
      <c r="D73" s="130"/>
      <c r="E73" s="130"/>
      <c r="F73" s="130"/>
      <c r="G73" s="130"/>
      <c r="H73" s="130"/>
      <c r="I73" s="132">
        <f t="shared" si="4"/>
        <v>0</v>
      </c>
      <c r="J73" s="128"/>
      <c r="K73" s="126">
        <f>RANK(I73,I2:I161)</f>
        <v>44</v>
      </c>
      <c r="L73" s="153">
        <f t="shared" si="5"/>
      </c>
    </row>
    <row r="74" spans="1:12" ht="24.75" customHeight="1">
      <c r="A74" s="148"/>
      <c r="B74" s="135"/>
      <c r="C74" s="130"/>
      <c r="D74" s="130"/>
      <c r="E74" s="130"/>
      <c r="F74" s="130"/>
      <c r="G74" s="130"/>
      <c r="H74" s="130"/>
      <c r="I74" s="132">
        <f t="shared" si="4"/>
        <v>0</v>
      </c>
      <c r="J74" s="128"/>
      <c r="K74" s="126">
        <f>RANK(I74,I2:I161)</f>
        <v>44</v>
      </c>
      <c r="L74" s="153">
        <f t="shared" si="5"/>
      </c>
    </row>
    <row r="75" spans="1:12" ht="24.75" customHeight="1">
      <c r="A75" s="148"/>
      <c r="B75" s="135"/>
      <c r="C75" s="130"/>
      <c r="D75" s="130"/>
      <c r="E75" s="130"/>
      <c r="F75" s="130"/>
      <c r="G75" s="130"/>
      <c r="H75" s="130"/>
      <c r="I75" s="132">
        <f t="shared" si="4"/>
        <v>0</v>
      </c>
      <c r="J75" s="128"/>
      <c r="K75" s="126">
        <f>RANK(I75,I2:I161)</f>
        <v>44</v>
      </c>
      <c r="L75" s="153">
        <f t="shared" si="5"/>
      </c>
    </row>
    <row r="76" spans="1:12" ht="24.75" customHeight="1">
      <c r="A76" s="148"/>
      <c r="B76" s="135"/>
      <c r="C76" s="130"/>
      <c r="D76" s="130"/>
      <c r="E76" s="130"/>
      <c r="F76" s="130"/>
      <c r="G76" s="130"/>
      <c r="H76" s="130"/>
      <c r="I76" s="132">
        <f t="shared" si="4"/>
        <v>0</v>
      </c>
      <c r="J76" s="128"/>
      <c r="K76" s="126">
        <f>RANK(I76,I2:I161)</f>
        <v>44</v>
      </c>
      <c r="L76" s="153">
        <f t="shared" si="5"/>
      </c>
    </row>
    <row r="77" spans="1:12" ht="24.75" customHeight="1">
      <c r="A77" s="148"/>
      <c r="B77" s="135"/>
      <c r="C77" s="130"/>
      <c r="D77" s="130"/>
      <c r="E77" s="130"/>
      <c r="F77" s="130"/>
      <c r="G77" s="130"/>
      <c r="H77" s="130"/>
      <c r="I77" s="132">
        <f t="shared" si="4"/>
        <v>0</v>
      </c>
      <c r="J77" s="128"/>
      <c r="K77" s="126">
        <f>RANK(I77,I2:I161)</f>
        <v>44</v>
      </c>
      <c r="L77" s="153">
        <f t="shared" si="5"/>
      </c>
    </row>
    <row r="78" spans="1:12" ht="24.75" customHeight="1">
      <c r="A78" s="148"/>
      <c r="B78" s="135"/>
      <c r="C78" s="130"/>
      <c r="D78" s="130"/>
      <c r="E78" s="130"/>
      <c r="F78" s="130"/>
      <c r="G78" s="130"/>
      <c r="H78" s="130"/>
      <c r="I78" s="132">
        <f t="shared" si="4"/>
        <v>0</v>
      </c>
      <c r="J78" s="128"/>
      <c r="K78" s="126">
        <f>RANK(I78,I2:I161)</f>
        <v>44</v>
      </c>
      <c r="L78" s="153">
        <f t="shared" si="5"/>
      </c>
    </row>
    <row r="79" spans="1:12" ht="24.75" customHeight="1">
      <c r="A79" s="148"/>
      <c r="B79" s="135"/>
      <c r="C79" s="130"/>
      <c r="D79" s="130"/>
      <c r="E79" s="130"/>
      <c r="F79" s="130"/>
      <c r="G79" s="130"/>
      <c r="H79" s="130"/>
      <c r="I79" s="132">
        <f t="shared" si="4"/>
        <v>0</v>
      </c>
      <c r="J79" s="128"/>
      <c r="K79" s="126">
        <f>RANK(I79,I2:I161)</f>
        <v>44</v>
      </c>
      <c r="L79" s="153">
        <f t="shared" si="5"/>
      </c>
    </row>
    <row r="80" spans="1:12" ht="24.75" customHeight="1">
      <c r="A80" s="148"/>
      <c r="B80" s="135"/>
      <c r="C80" s="130"/>
      <c r="D80" s="130"/>
      <c r="E80" s="130"/>
      <c r="F80" s="130"/>
      <c r="G80" s="130"/>
      <c r="H80" s="130"/>
      <c r="I80" s="132">
        <f t="shared" si="4"/>
        <v>0</v>
      </c>
      <c r="J80" s="128"/>
      <c r="K80" s="126">
        <f>RANK(I80,I2:I161)</f>
        <v>44</v>
      </c>
      <c r="L80" s="153">
        <f t="shared" si="5"/>
      </c>
    </row>
    <row r="81" spans="1:12" ht="24.75" customHeight="1">
      <c r="A81" s="148"/>
      <c r="B81" s="135"/>
      <c r="C81" s="130"/>
      <c r="D81" s="130"/>
      <c r="E81" s="130"/>
      <c r="F81" s="130"/>
      <c r="G81" s="130"/>
      <c r="H81" s="130"/>
      <c r="I81" s="132">
        <f t="shared" si="4"/>
        <v>0</v>
      </c>
      <c r="J81" s="128"/>
      <c r="K81" s="126">
        <f>RANK(I81,I2:I161)</f>
        <v>44</v>
      </c>
      <c r="L81" s="153">
        <f t="shared" si="5"/>
      </c>
    </row>
    <row r="82" spans="1:12" ht="24.75" customHeight="1">
      <c r="A82" s="148"/>
      <c r="B82" s="135"/>
      <c r="C82" s="130"/>
      <c r="D82" s="130"/>
      <c r="E82" s="130"/>
      <c r="F82" s="130"/>
      <c r="G82" s="130"/>
      <c r="H82" s="130"/>
      <c r="I82" s="132">
        <f t="shared" si="4"/>
        <v>0</v>
      </c>
      <c r="J82" s="128"/>
      <c r="K82" s="126">
        <f>RANK(I82,I2:I161)</f>
        <v>44</v>
      </c>
      <c r="L82" s="153">
        <f t="shared" si="5"/>
      </c>
    </row>
    <row r="83" spans="1:12" ht="24.75" customHeight="1">
      <c r="A83" s="148"/>
      <c r="B83" s="135"/>
      <c r="C83" s="130"/>
      <c r="D83" s="130"/>
      <c r="E83" s="130"/>
      <c r="F83" s="130"/>
      <c r="G83" s="130"/>
      <c r="H83" s="130"/>
      <c r="I83" s="132">
        <f t="shared" si="4"/>
        <v>0</v>
      </c>
      <c r="J83" s="128"/>
      <c r="K83" s="126">
        <f>RANK(I83,I2:I161)</f>
        <v>44</v>
      </c>
      <c r="L83" s="153">
        <f t="shared" si="5"/>
      </c>
    </row>
    <row r="84" spans="1:12" ht="24.75" customHeight="1">
      <c r="A84" s="148"/>
      <c r="B84" s="135"/>
      <c r="C84" s="130"/>
      <c r="D84" s="130"/>
      <c r="E84" s="130"/>
      <c r="F84" s="130"/>
      <c r="G84" s="130"/>
      <c r="H84" s="130"/>
      <c r="I84" s="132">
        <f t="shared" si="4"/>
        <v>0</v>
      </c>
      <c r="J84" s="128"/>
      <c r="K84" s="126">
        <f>RANK(I84,I2:I161)</f>
        <v>44</v>
      </c>
      <c r="L84" s="153">
        <f t="shared" si="5"/>
      </c>
    </row>
    <row r="85" spans="1:12" ht="24.75" customHeight="1">
      <c r="A85" s="148"/>
      <c r="B85" s="135"/>
      <c r="C85" s="130"/>
      <c r="D85" s="130"/>
      <c r="E85" s="130"/>
      <c r="F85" s="130"/>
      <c r="G85" s="130"/>
      <c r="H85" s="130"/>
      <c r="I85" s="132">
        <f t="shared" si="4"/>
        <v>0</v>
      </c>
      <c r="J85" s="128"/>
      <c r="K85" s="126">
        <f>RANK(I85,I2:I161)</f>
        <v>44</v>
      </c>
      <c r="L85" s="153">
        <f t="shared" si="5"/>
      </c>
    </row>
    <row r="86" spans="1:12" ht="24.75" customHeight="1">
      <c r="A86" s="148"/>
      <c r="B86" s="135"/>
      <c r="C86" s="130"/>
      <c r="D86" s="130"/>
      <c r="E86" s="130"/>
      <c r="F86" s="130"/>
      <c r="G86" s="130"/>
      <c r="H86" s="130"/>
      <c r="I86" s="132">
        <f t="shared" si="4"/>
        <v>0</v>
      </c>
      <c r="J86" s="128"/>
      <c r="K86" s="126">
        <f>RANK(I86,I2:I161)</f>
        <v>44</v>
      </c>
      <c r="L86" s="153">
        <f t="shared" si="5"/>
      </c>
    </row>
    <row r="87" spans="1:12" ht="24.75" customHeight="1">
      <c r="A87" s="148"/>
      <c r="B87" s="135"/>
      <c r="C87" s="130"/>
      <c r="D87" s="130"/>
      <c r="E87" s="130"/>
      <c r="F87" s="130"/>
      <c r="G87" s="130"/>
      <c r="H87" s="130"/>
      <c r="I87" s="132">
        <f t="shared" si="4"/>
        <v>0</v>
      </c>
      <c r="J87" s="128"/>
      <c r="K87" s="126">
        <f>RANK(I87,I2:I161)</f>
        <v>44</v>
      </c>
      <c r="L87" s="153">
        <f t="shared" si="5"/>
      </c>
    </row>
    <row r="88" spans="1:12" ht="24.75" customHeight="1">
      <c r="A88" s="148"/>
      <c r="B88" s="135"/>
      <c r="C88" s="130"/>
      <c r="D88" s="130"/>
      <c r="E88" s="130"/>
      <c r="F88" s="130"/>
      <c r="G88" s="130"/>
      <c r="H88" s="130"/>
      <c r="I88" s="132">
        <f t="shared" si="4"/>
        <v>0</v>
      </c>
      <c r="J88" s="128"/>
      <c r="K88" s="126">
        <f>RANK(I88,I2:I161)</f>
        <v>44</v>
      </c>
      <c r="L88" s="153">
        <f t="shared" si="5"/>
      </c>
    </row>
    <row r="89" spans="1:12" ht="24.75" customHeight="1">
      <c r="A89" s="148"/>
      <c r="B89" s="135"/>
      <c r="C89" s="130"/>
      <c r="D89" s="130"/>
      <c r="E89" s="130"/>
      <c r="F89" s="130"/>
      <c r="G89" s="130"/>
      <c r="H89" s="130"/>
      <c r="I89" s="132">
        <f t="shared" si="4"/>
        <v>0</v>
      </c>
      <c r="J89" s="128"/>
      <c r="K89" s="126">
        <f>RANK(I89,I2:I161)</f>
        <v>44</v>
      </c>
      <c r="L89" s="153">
        <f t="shared" si="5"/>
      </c>
    </row>
    <row r="90" spans="1:12" ht="24.75" customHeight="1">
      <c r="A90" s="148"/>
      <c r="B90" s="135"/>
      <c r="C90" s="130"/>
      <c r="D90" s="130"/>
      <c r="E90" s="130"/>
      <c r="F90" s="130"/>
      <c r="G90" s="130"/>
      <c r="H90" s="130"/>
      <c r="I90" s="132">
        <f t="shared" si="4"/>
        <v>0</v>
      </c>
      <c r="J90" s="128"/>
      <c r="K90" s="126">
        <f>RANK(I90,I2:I161)</f>
        <v>44</v>
      </c>
      <c r="L90" s="153">
        <f t="shared" si="5"/>
      </c>
    </row>
    <row r="91" spans="1:12" ht="24.75" customHeight="1">
      <c r="A91" s="148"/>
      <c r="B91" s="135"/>
      <c r="C91" s="130"/>
      <c r="D91" s="130"/>
      <c r="E91" s="130"/>
      <c r="F91" s="130"/>
      <c r="G91" s="130"/>
      <c r="H91" s="130"/>
      <c r="I91" s="132">
        <f t="shared" si="4"/>
        <v>0</v>
      </c>
      <c r="J91" s="128"/>
      <c r="K91" s="126">
        <f>RANK(I91,I2:I161)</f>
        <v>44</v>
      </c>
      <c r="L91" s="153">
        <f t="shared" si="5"/>
      </c>
    </row>
    <row r="92" spans="1:12" ht="24.75" customHeight="1">
      <c r="A92" s="148"/>
      <c r="B92" s="135"/>
      <c r="C92" s="130"/>
      <c r="D92" s="130"/>
      <c r="E92" s="130"/>
      <c r="F92" s="130"/>
      <c r="G92" s="130"/>
      <c r="H92" s="130"/>
      <c r="I92" s="132">
        <f t="shared" si="4"/>
        <v>0</v>
      </c>
      <c r="J92" s="128"/>
      <c r="K92" s="126">
        <f>RANK(I92,I2:I161)</f>
        <v>44</v>
      </c>
      <c r="L92" s="153">
        <f t="shared" si="5"/>
      </c>
    </row>
    <row r="93" spans="1:12" ht="24.75" customHeight="1">
      <c r="A93" s="148"/>
      <c r="B93" s="135"/>
      <c r="C93" s="130"/>
      <c r="D93" s="130"/>
      <c r="E93" s="130"/>
      <c r="F93" s="130"/>
      <c r="G93" s="130"/>
      <c r="H93" s="130"/>
      <c r="I93" s="132">
        <f t="shared" si="4"/>
        <v>0</v>
      </c>
      <c r="J93" s="128"/>
      <c r="K93" s="126">
        <f>RANK(I93,I2:I161)</f>
        <v>44</v>
      </c>
      <c r="L93" s="153">
        <f t="shared" si="5"/>
      </c>
    </row>
    <row r="94" spans="1:12" ht="24.75" customHeight="1">
      <c r="A94" s="148"/>
      <c r="B94" s="135"/>
      <c r="C94" s="130"/>
      <c r="D94" s="130"/>
      <c r="E94" s="130"/>
      <c r="F94" s="130"/>
      <c r="G94" s="130"/>
      <c r="H94" s="130"/>
      <c r="I94" s="132">
        <f t="shared" si="4"/>
        <v>0</v>
      </c>
      <c r="J94" s="128"/>
      <c r="K94" s="126">
        <f>RANK(I94,I2:I161)</f>
        <v>44</v>
      </c>
      <c r="L94" s="153">
        <f t="shared" si="5"/>
      </c>
    </row>
    <row r="95" spans="1:12" ht="24.75" customHeight="1">
      <c r="A95" s="148"/>
      <c r="B95" s="135"/>
      <c r="C95" s="130"/>
      <c r="D95" s="130"/>
      <c r="E95" s="130"/>
      <c r="F95" s="130"/>
      <c r="G95" s="130"/>
      <c r="H95" s="130"/>
      <c r="I95" s="132">
        <f t="shared" si="4"/>
        <v>0</v>
      </c>
      <c r="J95" s="128"/>
      <c r="K95" s="126">
        <f>RANK(I95,I2:I161)</f>
        <v>44</v>
      </c>
      <c r="L95" s="153">
        <f t="shared" si="5"/>
      </c>
    </row>
    <row r="96" spans="1:12" ht="24.75" customHeight="1">
      <c r="A96" s="148"/>
      <c r="B96" s="135"/>
      <c r="C96" s="130"/>
      <c r="D96" s="130"/>
      <c r="E96" s="130"/>
      <c r="F96" s="130"/>
      <c r="G96" s="130"/>
      <c r="H96" s="130"/>
      <c r="I96" s="132">
        <f t="shared" si="4"/>
        <v>0</v>
      </c>
      <c r="J96" s="128"/>
      <c r="K96" s="126">
        <f>RANK(I96,I2:I161)</f>
        <v>44</v>
      </c>
      <c r="L96" s="153">
        <f t="shared" si="5"/>
      </c>
    </row>
    <row r="97" spans="1:12" ht="24.75" customHeight="1">
      <c r="A97" s="148"/>
      <c r="B97" s="135"/>
      <c r="C97" s="130"/>
      <c r="D97" s="130"/>
      <c r="E97" s="130"/>
      <c r="F97" s="130"/>
      <c r="G97" s="130"/>
      <c r="H97" s="130"/>
      <c r="I97" s="132">
        <f t="shared" si="4"/>
        <v>0</v>
      </c>
      <c r="J97" s="128"/>
      <c r="K97" s="126">
        <f>RANK(I97,I2:I161)</f>
        <v>44</v>
      </c>
      <c r="L97" s="153">
        <f t="shared" si="5"/>
      </c>
    </row>
    <row r="98" spans="1:12" ht="24.75" customHeight="1">
      <c r="A98" s="148"/>
      <c r="B98" s="135"/>
      <c r="C98" s="130"/>
      <c r="D98" s="130"/>
      <c r="E98" s="130"/>
      <c r="F98" s="130"/>
      <c r="G98" s="130"/>
      <c r="H98" s="130"/>
      <c r="I98" s="132">
        <f aca="true" t="shared" si="6" ref="I98:I129">SUM(C98,D98,E98,F98,G98,H98)</f>
        <v>0</v>
      </c>
      <c r="J98" s="128"/>
      <c r="K98" s="126">
        <f>RANK(I98,I2:I161)</f>
        <v>44</v>
      </c>
      <c r="L98" s="153">
        <f aca="true" t="shared" si="7" ref="L98:L129">IF(K98=1,A98,"")</f>
      </c>
    </row>
    <row r="99" spans="1:12" ht="24.75" customHeight="1">
      <c r="A99" s="148"/>
      <c r="B99" s="135"/>
      <c r="C99" s="130"/>
      <c r="D99" s="130"/>
      <c r="E99" s="130"/>
      <c r="F99" s="130"/>
      <c r="G99" s="130"/>
      <c r="H99" s="130"/>
      <c r="I99" s="132">
        <f t="shared" si="6"/>
        <v>0</v>
      </c>
      <c r="J99" s="128"/>
      <c r="K99" s="126">
        <f>RANK(I99,I2:I161)</f>
        <v>44</v>
      </c>
      <c r="L99" s="153">
        <f t="shared" si="7"/>
      </c>
    </row>
    <row r="100" spans="1:12" ht="24.75" customHeight="1">
      <c r="A100" s="148"/>
      <c r="B100" s="135"/>
      <c r="C100" s="130"/>
      <c r="D100" s="130"/>
      <c r="E100" s="130"/>
      <c r="F100" s="130"/>
      <c r="G100" s="130"/>
      <c r="H100" s="130"/>
      <c r="I100" s="132">
        <f t="shared" si="6"/>
        <v>0</v>
      </c>
      <c r="J100" s="128"/>
      <c r="K100" s="126">
        <f>RANK(I100,I2:I161)</f>
        <v>44</v>
      </c>
      <c r="L100" s="153">
        <f t="shared" si="7"/>
      </c>
    </row>
    <row r="101" spans="1:12" ht="24.75" customHeight="1">
      <c r="A101" s="148"/>
      <c r="B101" s="135"/>
      <c r="C101" s="130"/>
      <c r="D101" s="130"/>
      <c r="E101" s="130"/>
      <c r="F101" s="130"/>
      <c r="G101" s="130"/>
      <c r="H101" s="130"/>
      <c r="I101" s="132">
        <f t="shared" si="6"/>
        <v>0</v>
      </c>
      <c r="J101" s="128"/>
      <c r="K101" s="126">
        <f>RANK(I101,I2:I161)</f>
        <v>44</v>
      </c>
      <c r="L101" s="153">
        <f t="shared" si="7"/>
      </c>
    </row>
    <row r="102" spans="1:12" ht="24.75" customHeight="1">
      <c r="A102" s="148"/>
      <c r="B102" s="135"/>
      <c r="C102" s="130"/>
      <c r="D102" s="130"/>
      <c r="E102" s="130"/>
      <c r="F102" s="130"/>
      <c r="G102" s="130"/>
      <c r="H102" s="130"/>
      <c r="I102" s="132">
        <f t="shared" si="6"/>
        <v>0</v>
      </c>
      <c r="J102" s="128"/>
      <c r="K102" s="126">
        <f>RANK(I102,I2:I161)</f>
        <v>44</v>
      </c>
      <c r="L102" s="153">
        <f t="shared" si="7"/>
      </c>
    </row>
    <row r="103" spans="1:12" ht="24.75" customHeight="1">
      <c r="A103" s="148"/>
      <c r="B103" s="135"/>
      <c r="C103" s="130"/>
      <c r="D103" s="130"/>
      <c r="E103" s="130"/>
      <c r="F103" s="130"/>
      <c r="G103" s="130"/>
      <c r="H103" s="130"/>
      <c r="I103" s="132">
        <f t="shared" si="6"/>
        <v>0</v>
      </c>
      <c r="J103" s="128"/>
      <c r="K103" s="126">
        <f>RANK(I103,I2:I161)</f>
        <v>44</v>
      </c>
      <c r="L103" s="153">
        <f t="shared" si="7"/>
      </c>
    </row>
    <row r="104" spans="1:12" ht="24.75" customHeight="1">
      <c r="A104" s="148"/>
      <c r="B104" s="135"/>
      <c r="C104" s="130"/>
      <c r="D104" s="130"/>
      <c r="E104" s="130"/>
      <c r="F104" s="130"/>
      <c r="G104" s="130"/>
      <c r="H104" s="130"/>
      <c r="I104" s="132">
        <f t="shared" si="6"/>
        <v>0</v>
      </c>
      <c r="J104" s="128"/>
      <c r="K104" s="126">
        <f>RANK(I104,I2:I161)</f>
        <v>44</v>
      </c>
      <c r="L104" s="153">
        <f t="shared" si="7"/>
      </c>
    </row>
    <row r="105" spans="1:12" ht="24.75" customHeight="1">
      <c r="A105" s="148"/>
      <c r="B105" s="135"/>
      <c r="C105" s="130"/>
      <c r="D105" s="130"/>
      <c r="E105" s="130"/>
      <c r="F105" s="130"/>
      <c r="G105" s="130"/>
      <c r="H105" s="130"/>
      <c r="I105" s="132">
        <f t="shared" si="6"/>
        <v>0</v>
      </c>
      <c r="J105" s="128"/>
      <c r="K105" s="126">
        <f>RANK(I105,I2:I161)</f>
        <v>44</v>
      </c>
      <c r="L105" s="153">
        <f t="shared" si="7"/>
      </c>
    </row>
    <row r="106" spans="1:12" ht="24.75" customHeight="1">
      <c r="A106" s="148"/>
      <c r="B106" s="135"/>
      <c r="C106" s="130"/>
      <c r="D106" s="130"/>
      <c r="E106" s="130"/>
      <c r="F106" s="130"/>
      <c r="G106" s="130"/>
      <c r="H106" s="130"/>
      <c r="I106" s="132">
        <f t="shared" si="6"/>
        <v>0</v>
      </c>
      <c r="J106" s="128"/>
      <c r="K106" s="126">
        <f>RANK(I106,I2:I161)</f>
        <v>44</v>
      </c>
      <c r="L106" s="153">
        <f t="shared" si="7"/>
      </c>
    </row>
    <row r="107" spans="1:12" ht="24.75" customHeight="1">
      <c r="A107" s="148"/>
      <c r="B107" s="135"/>
      <c r="C107" s="130"/>
      <c r="D107" s="130"/>
      <c r="E107" s="130"/>
      <c r="F107" s="130"/>
      <c r="G107" s="130"/>
      <c r="H107" s="130"/>
      <c r="I107" s="132">
        <f t="shared" si="6"/>
        <v>0</v>
      </c>
      <c r="J107" s="128"/>
      <c r="K107" s="126">
        <f>RANK(I107,I2:I161)</f>
        <v>44</v>
      </c>
      <c r="L107" s="153">
        <f t="shared" si="7"/>
      </c>
    </row>
    <row r="108" spans="1:12" ht="24.75" customHeight="1">
      <c r="A108" s="148"/>
      <c r="B108" s="135"/>
      <c r="C108" s="130"/>
      <c r="D108" s="130"/>
      <c r="E108" s="130"/>
      <c r="F108" s="130"/>
      <c r="G108" s="130"/>
      <c r="H108" s="130"/>
      <c r="I108" s="132">
        <f t="shared" si="6"/>
        <v>0</v>
      </c>
      <c r="J108" s="128"/>
      <c r="K108" s="126">
        <f>RANK(I108,I2:I161)</f>
        <v>44</v>
      </c>
      <c r="L108" s="153">
        <f t="shared" si="7"/>
      </c>
    </row>
    <row r="109" spans="1:12" ht="24.75" customHeight="1">
      <c r="A109" s="148"/>
      <c r="B109" s="135"/>
      <c r="C109" s="130"/>
      <c r="D109" s="130"/>
      <c r="E109" s="130"/>
      <c r="F109" s="130"/>
      <c r="G109" s="130"/>
      <c r="H109" s="130"/>
      <c r="I109" s="132">
        <f t="shared" si="6"/>
        <v>0</v>
      </c>
      <c r="J109" s="128"/>
      <c r="K109" s="126">
        <f>RANK(I109,I2:I161)</f>
        <v>44</v>
      </c>
      <c r="L109" s="153">
        <f t="shared" si="7"/>
      </c>
    </row>
    <row r="110" spans="1:12" ht="24.75" customHeight="1">
      <c r="A110" s="148"/>
      <c r="B110" s="135"/>
      <c r="C110" s="130"/>
      <c r="D110" s="130"/>
      <c r="E110" s="130"/>
      <c r="F110" s="130"/>
      <c r="G110" s="130"/>
      <c r="H110" s="130"/>
      <c r="I110" s="132">
        <f t="shared" si="6"/>
        <v>0</v>
      </c>
      <c r="J110" s="128"/>
      <c r="K110" s="126">
        <f>RANK(I110,I2:I161)</f>
        <v>44</v>
      </c>
      <c r="L110" s="153">
        <f t="shared" si="7"/>
      </c>
    </row>
    <row r="111" spans="1:12" ht="24.75" customHeight="1">
      <c r="A111" s="148"/>
      <c r="B111" s="135"/>
      <c r="C111" s="130"/>
      <c r="D111" s="130"/>
      <c r="E111" s="130"/>
      <c r="F111" s="130"/>
      <c r="G111" s="130"/>
      <c r="H111" s="130"/>
      <c r="I111" s="132">
        <f t="shared" si="6"/>
        <v>0</v>
      </c>
      <c r="J111" s="128"/>
      <c r="K111" s="126">
        <f>RANK(I111,I2:I161)</f>
        <v>44</v>
      </c>
      <c r="L111" s="153">
        <f t="shared" si="7"/>
      </c>
    </row>
    <row r="112" spans="1:12" ht="24.75" customHeight="1">
      <c r="A112" s="148"/>
      <c r="B112" s="135"/>
      <c r="C112" s="130"/>
      <c r="D112" s="130"/>
      <c r="E112" s="130"/>
      <c r="F112" s="130"/>
      <c r="G112" s="130"/>
      <c r="H112" s="130"/>
      <c r="I112" s="132">
        <f t="shared" si="6"/>
        <v>0</v>
      </c>
      <c r="J112" s="128"/>
      <c r="K112" s="126">
        <f>RANK(I112,I2:I161)</f>
        <v>44</v>
      </c>
      <c r="L112" s="153">
        <f t="shared" si="7"/>
      </c>
    </row>
    <row r="113" spans="1:12" ht="24.75" customHeight="1">
      <c r="A113" s="148"/>
      <c r="B113" s="135"/>
      <c r="C113" s="130"/>
      <c r="D113" s="130"/>
      <c r="E113" s="130"/>
      <c r="F113" s="130"/>
      <c r="G113" s="130"/>
      <c r="H113" s="130"/>
      <c r="I113" s="132">
        <f t="shared" si="6"/>
        <v>0</v>
      </c>
      <c r="J113" s="128"/>
      <c r="K113" s="126">
        <f>RANK(I113,I2:I161)</f>
        <v>44</v>
      </c>
      <c r="L113" s="153">
        <f t="shared" si="7"/>
      </c>
    </row>
    <row r="114" spans="1:12" ht="24.75" customHeight="1">
      <c r="A114" s="148"/>
      <c r="B114" s="135"/>
      <c r="C114" s="130"/>
      <c r="D114" s="130"/>
      <c r="E114" s="130"/>
      <c r="F114" s="130"/>
      <c r="G114" s="130"/>
      <c r="H114" s="130"/>
      <c r="I114" s="132">
        <f t="shared" si="6"/>
        <v>0</v>
      </c>
      <c r="J114" s="128"/>
      <c r="K114" s="126">
        <f>RANK(I114,I2:I161)</f>
        <v>44</v>
      </c>
      <c r="L114" s="153">
        <f t="shared" si="7"/>
      </c>
    </row>
    <row r="115" spans="1:12" ht="24.75" customHeight="1">
      <c r="A115" s="148"/>
      <c r="B115" s="135"/>
      <c r="C115" s="130"/>
      <c r="D115" s="130"/>
      <c r="E115" s="130"/>
      <c r="F115" s="130"/>
      <c r="G115" s="130"/>
      <c r="H115" s="130"/>
      <c r="I115" s="132">
        <f t="shared" si="6"/>
        <v>0</v>
      </c>
      <c r="J115" s="128"/>
      <c r="K115" s="126">
        <f>RANK(I115,I2:I161)</f>
        <v>44</v>
      </c>
      <c r="L115" s="153">
        <f t="shared" si="7"/>
      </c>
    </row>
    <row r="116" spans="1:12" ht="24.75" customHeight="1">
      <c r="A116" s="148"/>
      <c r="B116" s="135"/>
      <c r="C116" s="130"/>
      <c r="D116" s="130"/>
      <c r="E116" s="130"/>
      <c r="F116" s="130"/>
      <c r="G116" s="130"/>
      <c r="H116" s="130"/>
      <c r="I116" s="132">
        <f t="shared" si="6"/>
        <v>0</v>
      </c>
      <c r="J116" s="128"/>
      <c r="K116" s="126">
        <f>RANK(I116,I2:I161)</f>
        <v>44</v>
      </c>
      <c r="L116" s="153">
        <f t="shared" si="7"/>
      </c>
    </row>
    <row r="117" spans="1:12" ht="24.75" customHeight="1">
      <c r="A117" s="148"/>
      <c r="B117" s="135"/>
      <c r="C117" s="130"/>
      <c r="D117" s="130"/>
      <c r="E117" s="130"/>
      <c r="F117" s="130"/>
      <c r="G117" s="130"/>
      <c r="H117" s="130"/>
      <c r="I117" s="132">
        <f t="shared" si="6"/>
        <v>0</v>
      </c>
      <c r="J117" s="128"/>
      <c r="K117" s="126">
        <f>RANK(I117,I2:I161)</f>
        <v>44</v>
      </c>
      <c r="L117" s="153">
        <f t="shared" si="7"/>
      </c>
    </row>
    <row r="118" spans="1:12" ht="24.75" customHeight="1">
      <c r="A118" s="148"/>
      <c r="B118" s="135"/>
      <c r="C118" s="130"/>
      <c r="D118" s="130"/>
      <c r="E118" s="130"/>
      <c r="F118" s="130"/>
      <c r="G118" s="130"/>
      <c r="H118" s="130"/>
      <c r="I118" s="132">
        <f t="shared" si="6"/>
        <v>0</v>
      </c>
      <c r="J118" s="128"/>
      <c r="K118" s="126">
        <f>RANK(I118,I2:I161)</f>
        <v>44</v>
      </c>
      <c r="L118" s="153">
        <f t="shared" si="7"/>
      </c>
    </row>
    <row r="119" spans="1:12" ht="24.75" customHeight="1">
      <c r="A119" s="148"/>
      <c r="B119" s="135"/>
      <c r="C119" s="130"/>
      <c r="D119" s="130"/>
      <c r="E119" s="130"/>
      <c r="F119" s="130"/>
      <c r="G119" s="130"/>
      <c r="H119" s="130"/>
      <c r="I119" s="132">
        <f t="shared" si="6"/>
        <v>0</v>
      </c>
      <c r="J119" s="128"/>
      <c r="K119" s="126">
        <f>RANK(I119,I2:I161)</f>
        <v>44</v>
      </c>
      <c r="L119" s="153">
        <f t="shared" si="7"/>
      </c>
    </row>
    <row r="120" spans="1:12" ht="24.75" customHeight="1">
      <c r="A120" s="148"/>
      <c r="B120" s="135"/>
      <c r="C120" s="130"/>
      <c r="D120" s="130"/>
      <c r="E120" s="130"/>
      <c r="F120" s="130"/>
      <c r="G120" s="130"/>
      <c r="H120" s="130"/>
      <c r="I120" s="132">
        <f t="shared" si="6"/>
        <v>0</v>
      </c>
      <c r="J120" s="128"/>
      <c r="K120" s="126">
        <f>RANK(I120,I2:I161)</f>
        <v>44</v>
      </c>
      <c r="L120" s="153">
        <f t="shared" si="7"/>
      </c>
    </row>
    <row r="121" spans="1:12" ht="24.75" customHeight="1">
      <c r="A121" s="148"/>
      <c r="B121" s="135"/>
      <c r="C121" s="130"/>
      <c r="D121" s="130"/>
      <c r="E121" s="130"/>
      <c r="F121" s="130"/>
      <c r="G121" s="130"/>
      <c r="H121" s="130"/>
      <c r="I121" s="132">
        <f t="shared" si="6"/>
        <v>0</v>
      </c>
      <c r="J121" s="128"/>
      <c r="K121" s="126">
        <f>RANK(I121,I2:I161)</f>
        <v>44</v>
      </c>
      <c r="L121" s="153">
        <f t="shared" si="7"/>
      </c>
    </row>
    <row r="122" spans="1:12" ht="24.75" customHeight="1">
      <c r="A122" s="148"/>
      <c r="B122" s="135"/>
      <c r="C122" s="130"/>
      <c r="D122" s="130"/>
      <c r="E122" s="130"/>
      <c r="F122" s="130"/>
      <c r="G122" s="130"/>
      <c r="H122" s="130"/>
      <c r="I122" s="132">
        <f t="shared" si="6"/>
        <v>0</v>
      </c>
      <c r="J122" s="128"/>
      <c r="K122" s="126">
        <f>RANK(I122,I2:I161)</f>
        <v>44</v>
      </c>
      <c r="L122" s="153">
        <f t="shared" si="7"/>
      </c>
    </row>
    <row r="123" spans="1:12" ht="24.75" customHeight="1">
      <c r="A123" s="148"/>
      <c r="B123" s="135"/>
      <c r="C123" s="130"/>
      <c r="D123" s="130"/>
      <c r="E123" s="130"/>
      <c r="F123" s="130"/>
      <c r="G123" s="130"/>
      <c r="H123" s="130"/>
      <c r="I123" s="132">
        <f t="shared" si="6"/>
        <v>0</v>
      </c>
      <c r="J123" s="128"/>
      <c r="K123" s="126">
        <f>RANK(I123,I2:I161)</f>
        <v>44</v>
      </c>
      <c r="L123" s="153">
        <f t="shared" si="7"/>
      </c>
    </row>
    <row r="124" spans="1:12" ht="24.75" customHeight="1">
      <c r="A124" s="148"/>
      <c r="B124" s="135"/>
      <c r="C124" s="130"/>
      <c r="D124" s="130"/>
      <c r="E124" s="130"/>
      <c r="F124" s="130"/>
      <c r="G124" s="130"/>
      <c r="H124" s="130"/>
      <c r="I124" s="132">
        <f t="shared" si="6"/>
        <v>0</v>
      </c>
      <c r="J124" s="128"/>
      <c r="K124" s="126">
        <f>RANK(I124,I2:I161)</f>
        <v>44</v>
      </c>
      <c r="L124" s="153">
        <f t="shared" si="7"/>
      </c>
    </row>
    <row r="125" spans="1:12" ht="24.75" customHeight="1">
      <c r="A125" s="148"/>
      <c r="B125" s="135"/>
      <c r="C125" s="130"/>
      <c r="D125" s="130"/>
      <c r="E125" s="130"/>
      <c r="F125" s="130"/>
      <c r="G125" s="130"/>
      <c r="H125" s="130"/>
      <c r="I125" s="132">
        <f t="shared" si="6"/>
        <v>0</v>
      </c>
      <c r="J125" s="128"/>
      <c r="K125" s="126">
        <f>RANK(I125,I2:I161)</f>
        <v>44</v>
      </c>
      <c r="L125" s="153">
        <f t="shared" si="7"/>
      </c>
    </row>
    <row r="126" spans="1:12" ht="24.75" customHeight="1">
      <c r="A126" s="148"/>
      <c r="B126" s="135"/>
      <c r="C126" s="130"/>
      <c r="D126" s="130"/>
      <c r="E126" s="130"/>
      <c r="F126" s="130"/>
      <c r="G126" s="130"/>
      <c r="H126" s="130"/>
      <c r="I126" s="132">
        <f t="shared" si="6"/>
        <v>0</v>
      </c>
      <c r="J126" s="128"/>
      <c r="K126" s="126">
        <f>RANK(I126,I2:I161)</f>
        <v>44</v>
      </c>
      <c r="L126" s="153">
        <f t="shared" si="7"/>
      </c>
    </row>
    <row r="127" spans="1:12" ht="24.75" customHeight="1">
      <c r="A127" s="148"/>
      <c r="B127" s="135"/>
      <c r="C127" s="130"/>
      <c r="D127" s="130"/>
      <c r="E127" s="130"/>
      <c r="F127" s="130"/>
      <c r="G127" s="130"/>
      <c r="H127" s="130"/>
      <c r="I127" s="132">
        <f t="shared" si="6"/>
        <v>0</v>
      </c>
      <c r="J127" s="128"/>
      <c r="K127" s="126">
        <f>RANK(I127,I2:I161)</f>
        <v>44</v>
      </c>
      <c r="L127" s="153">
        <f t="shared" si="7"/>
      </c>
    </row>
    <row r="128" spans="1:12" ht="24.75" customHeight="1">
      <c r="A128" s="148"/>
      <c r="B128" s="135"/>
      <c r="C128" s="130"/>
      <c r="D128" s="130"/>
      <c r="E128" s="130"/>
      <c r="F128" s="130"/>
      <c r="G128" s="130"/>
      <c r="H128" s="130"/>
      <c r="I128" s="132">
        <f t="shared" si="6"/>
        <v>0</v>
      </c>
      <c r="J128" s="128"/>
      <c r="K128" s="126">
        <f>RANK(I128,I2:I161)</f>
        <v>44</v>
      </c>
      <c r="L128" s="153">
        <f t="shared" si="7"/>
      </c>
    </row>
    <row r="129" spans="1:12" ht="24.75" customHeight="1">
      <c r="A129" s="148"/>
      <c r="B129" s="135"/>
      <c r="C129" s="130"/>
      <c r="D129" s="130"/>
      <c r="E129" s="130"/>
      <c r="F129" s="130"/>
      <c r="G129" s="130"/>
      <c r="H129" s="130"/>
      <c r="I129" s="132">
        <f t="shared" si="6"/>
        <v>0</v>
      </c>
      <c r="J129" s="128"/>
      <c r="K129" s="126">
        <f>RANK(I129,I2:I161)</f>
        <v>44</v>
      </c>
      <c r="L129" s="153">
        <f t="shared" si="7"/>
      </c>
    </row>
    <row r="130" spans="1:12" ht="24.75" customHeight="1">
      <c r="A130" s="148"/>
      <c r="B130" s="135"/>
      <c r="C130" s="130"/>
      <c r="D130" s="130"/>
      <c r="E130" s="130"/>
      <c r="F130" s="130"/>
      <c r="G130" s="130"/>
      <c r="H130" s="130"/>
      <c r="I130" s="132">
        <f aca="true" t="shared" si="8" ref="I130:I161">SUM(C130,D130,E130,F130,G130,H130)</f>
        <v>0</v>
      </c>
      <c r="J130" s="128"/>
      <c r="K130" s="126">
        <f>RANK(I130,I2:I161)</f>
        <v>44</v>
      </c>
      <c r="L130" s="153">
        <f aca="true" t="shared" si="9" ref="L130:L161">IF(K130=1,A130,"")</f>
      </c>
    </row>
    <row r="131" spans="1:12" ht="24.75" customHeight="1">
      <c r="A131" s="148"/>
      <c r="B131" s="135"/>
      <c r="C131" s="130"/>
      <c r="D131" s="130"/>
      <c r="E131" s="130"/>
      <c r="F131" s="130"/>
      <c r="G131" s="130"/>
      <c r="H131" s="130"/>
      <c r="I131" s="132">
        <f t="shared" si="8"/>
        <v>0</v>
      </c>
      <c r="J131" s="128"/>
      <c r="K131" s="126">
        <f>RANK(I131,I2:I161)</f>
        <v>44</v>
      </c>
      <c r="L131" s="153">
        <f t="shared" si="9"/>
      </c>
    </row>
    <row r="132" spans="1:12" ht="24.75" customHeight="1">
      <c r="A132" s="148"/>
      <c r="B132" s="135"/>
      <c r="C132" s="130"/>
      <c r="D132" s="130"/>
      <c r="E132" s="130"/>
      <c r="F132" s="130"/>
      <c r="G132" s="130"/>
      <c r="H132" s="130"/>
      <c r="I132" s="132">
        <f t="shared" si="8"/>
        <v>0</v>
      </c>
      <c r="J132" s="128"/>
      <c r="K132" s="126">
        <f>RANK(I132,I2:I161)</f>
        <v>44</v>
      </c>
      <c r="L132" s="153">
        <f t="shared" si="9"/>
      </c>
    </row>
    <row r="133" spans="1:12" ht="24.75" customHeight="1">
      <c r="A133" s="148"/>
      <c r="B133" s="135"/>
      <c r="C133" s="130"/>
      <c r="D133" s="130"/>
      <c r="E133" s="130"/>
      <c r="F133" s="130"/>
      <c r="G133" s="130"/>
      <c r="H133" s="130"/>
      <c r="I133" s="132">
        <f t="shared" si="8"/>
        <v>0</v>
      </c>
      <c r="J133" s="128"/>
      <c r="K133" s="126">
        <f>RANK(I133,I2:I161)</f>
        <v>44</v>
      </c>
      <c r="L133" s="153">
        <f t="shared" si="9"/>
      </c>
    </row>
    <row r="134" spans="1:12" ht="24.75" customHeight="1">
      <c r="A134" s="148"/>
      <c r="B134" s="135"/>
      <c r="C134" s="130"/>
      <c r="D134" s="130"/>
      <c r="E134" s="130"/>
      <c r="F134" s="130"/>
      <c r="G134" s="130"/>
      <c r="H134" s="130"/>
      <c r="I134" s="132">
        <f t="shared" si="8"/>
        <v>0</v>
      </c>
      <c r="J134" s="128"/>
      <c r="K134" s="126">
        <f>RANK(I134,I2:I161)</f>
        <v>44</v>
      </c>
      <c r="L134" s="153">
        <f t="shared" si="9"/>
      </c>
    </row>
    <row r="135" spans="1:12" ht="24.75" customHeight="1">
      <c r="A135" s="148"/>
      <c r="B135" s="135"/>
      <c r="C135" s="130"/>
      <c r="D135" s="130"/>
      <c r="E135" s="130"/>
      <c r="F135" s="130"/>
      <c r="G135" s="130"/>
      <c r="H135" s="130"/>
      <c r="I135" s="132">
        <f t="shared" si="8"/>
        <v>0</v>
      </c>
      <c r="J135" s="128"/>
      <c r="K135" s="126">
        <f>RANK(I135,I2:I161)</f>
        <v>44</v>
      </c>
      <c r="L135" s="153">
        <f t="shared" si="9"/>
      </c>
    </row>
    <row r="136" spans="1:12" ht="24.75" customHeight="1">
      <c r="A136" s="148"/>
      <c r="B136" s="135"/>
      <c r="C136" s="130"/>
      <c r="D136" s="130"/>
      <c r="E136" s="130"/>
      <c r="F136" s="130"/>
      <c r="G136" s="130"/>
      <c r="H136" s="130"/>
      <c r="I136" s="132">
        <f t="shared" si="8"/>
        <v>0</v>
      </c>
      <c r="J136" s="128"/>
      <c r="K136" s="126">
        <f>RANK(I136,I2:I161)</f>
        <v>44</v>
      </c>
      <c r="L136" s="153">
        <f t="shared" si="9"/>
      </c>
    </row>
    <row r="137" spans="1:12" ht="24.75" customHeight="1">
      <c r="A137" s="148"/>
      <c r="B137" s="135"/>
      <c r="C137" s="130"/>
      <c r="D137" s="130"/>
      <c r="E137" s="130"/>
      <c r="F137" s="130"/>
      <c r="G137" s="130"/>
      <c r="H137" s="130"/>
      <c r="I137" s="132">
        <f t="shared" si="8"/>
        <v>0</v>
      </c>
      <c r="J137" s="128"/>
      <c r="K137" s="126">
        <f>RANK(I137,I2:I161)</f>
        <v>44</v>
      </c>
      <c r="L137" s="153">
        <f t="shared" si="9"/>
      </c>
    </row>
    <row r="138" spans="1:12" ht="24.75" customHeight="1">
      <c r="A138" s="148"/>
      <c r="B138" s="135"/>
      <c r="C138" s="130"/>
      <c r="D138" s="130"/>
      <c r="E138" s="130"/>
      <c r="F138" s="130"/>
      <c r="G138" s="130"/>
      <c r="H138" s="130"/>
      <c r="I138" s="132">
        <f t="shared" si="8"/>
        <v>0</v>
      </c>
      <c r="J138" s="128"/>
      <c r="K138" s="126">
        <f>RANK(I138,I2:I161)</f>
        <v>44</v>
      </c>
      <c r="L138" s="153">
        <f t="shared" si="9"/>
      </c>
    </row>
    <row r="139" spans="1:12" ht="24.75" customHeight="1">
      <c r="A139" s="148"/>
      <c r="B139" s="135"/>
      <c r="C139" s="130"/>
      <c r="D139" s="130"/>
      <c r="E139" s="130"/>
      <c r="F139" s="130"/>
      <c r="G139" s="130"/>
      <c r="H139" s="130"/>
      <c r="I139" s="132">
        <f t="shared" si="8"/>
        <v>0</v>
      </c>
      <c r="J139" s="128"/>
      <c r="K139" s="126">
        <f>RANK(I139,I2:I161)</f>
        <v>44</v>
      </c>
      <c r="L139" s="153">
        <f t="shared" si="9"/>
      </c>
    </row>
    <row r="140" spans="1:12" ht="24.75" customHeight="1">
      <c r="A140" s="148"/>
      <c r="B140" s="135"/>
      <c r="C140" s="130"/>
      <c r="D140" s="130"/>
      <c r="E140" s="130"/>
      <c r="F140" s="130"/>
      <c r="G140" s="130"/>
      <c r="H140" s="130"/>
      <c r="I140" s="132">
        <f t="shared" si="8"/>
        <v>0</v>
      </c>
      <c r="J140" s="128"/>
      <c r="K140" s="126">
        <f>RANK(I140,I2:I161)</f>
        <v>44</v>
      </c>
      <c r="L140" s="153">
        <f t="shared" si="9"/>
      </c>
    </row>
    <row r="141" spans="1:12" ht="24.75" customHeight="1">
      <c r="A141" s="148"/>
      <c r="B141" s="135"/>
      <c r="C141" s="130"/>
      <c r="D141" s="130"/>
      <c r="E141" s="130"/>
      <c r="F141" s="130"/>
      <c r="G141" s="130"/>
      <c r="H141" s="130"/>
      <c r="I141" s="132">
        <f t="shared" si="8"/>
        <v>0</v>
      </c>
      <c r="J141" s="128"/>
      <c r="K141" s="126">
        <f>RANK(I141,I2:I161)</f>
        <v>44</v>
      </c>
      <c r="L141" s="153">
        <f t="shared" si="9"/>
      </c>
    </row>
    <row r="142" spans="1:12" ht="24.75" customHeight="1">
      <c r="A142" s="148"/>
      <c r="B142" s="135"/>
      <c r="C142" s="130"/>
      <c r="D142" s="130"/>
      <c r="E142" s="130"/>
      <c r="F142" s="130"/>
      <c r="G142" s="130"/>
      <c r="H142" s="130"/>
      <c r="I142" s="132">
        <f t="shared" si="8"/>
        <v>0</v>
      </c>
      <c r="J142" s="128"/>
      <c r="K142" s="126">
        <f>RANK(I142,I2:I161)</f>
        <v>44</v>
      </c>
      <c r="L142" s="153">
        <f t="shared" si="9"/>
      </c>
    </row>
    <row r="143" spans="1:12" ht="24.75" customHeight="1">
      <c r="A143" s="148"/>
      <c r="B143" s="135"/>
      <c r="C143" s="130"/>
      <c r="D143" s="130"/>
      <c r="E143" s="130"/>
      <c r="F143" s="130"/>
      <c r="G143" s="130"/>
      <c r="H143" s="130"/>
      <c r="I143" s="132">
        <f t="shared" si="8"/>
        <v>0</v>
      </c>
      <c r="J143" s="128"/>
      <c r="K143" s="126">
        <f>RANK(I143,I2:I161)</f>
        <v>44</v>
      </c>
      <c r="L143" s="153">
        <f t="shared" si="9"/>
      </c>
    </row>
    <row r="144" spans="1:12" ht="24.75" customHeight="1">
      <c r="A144" s="148"/>
      <c r="B144" s="135"/>
      <c r="C144" s="130"/>
      <c r="D144" s="130"/>
      <c r="E144" s="130"/>
      <c r="F144" s="130"/>
      <c r="G144" s="130"/>
      <c r="H144" s="130"/>
      <c r="I144" s="132">
        <f t="shared" si="8"/>
        <v>0</v>
      </c>
      <c r="J144" s="128"/>
      <c r="K144" s="126">
        <f>RANK(I144,I2:I161)</f>
        <v>44</v>
      </c>
      <c r="L144" s="153">
        <f t="shared" si="9"/>
      </c>
    </row>
    <row r="145" spans="1:12" ht="24.75" customHeight="1">
      <c r="A145" s="148"/>
      <c r="B145" s="135"/>
      <c r="C145" s="130"/>
      <c r="D145" s="130"/>
      <c r="E145" s="130"/>
      <c r="F145" s="130"/>
      <c r="G145" s="130"/>
      <c r="H145" s="130"/>
      <c r="I145" s="132">
        <f t="shared" si="8"/>
        <v>0</v>
      </c>
      <c r="J145" s="128"/>
      <c r="K145" s="126">
        <f>RANK(I145,I2:I161)</f>
        <v>44</v>
      </c>
      <c r="L145" s="153">
        <f t="shared" si="9"/>
      </c>
    </row>
    <row r="146" spans="1:12" ht="24.75" customHeight="1">
      <c r="A146" s="148"/>
      <c r="B146" s="135"/>
      <c r="C146" s="130"/>
      <c r="D146" s="130"/>
      <c r="E146" s="130"/>
      <c r="F146" s="130"/>
      <c r="G146" s="130"/>
      <c r="H146" s="130"/>
      <c r="I146" s="132">
        <f t="shared" si="8"/>
        <v>0</v>
      </c>
      <c r="J146" s="128"/>
      <c r="K146" s="126">
        <f>RANK(I146,I2:I161)</f>
        <v>44</v>
      </c>
      <c r="L146" s="153">
        <f t="shared" si="9"/>
      </c>
    </row>
    <row r="147" spans="1:12" ht="24.75" customHeight="1">
      <c r="A147" s="148"/>
      <c r="B147" s="135"/>
      <c r="C147" s="130"/>
      <c r="D147" s="130"/>
      <c r="E147" s="130"/>
      <c r="F147" s="130"/>
      <c r="G147" s="130"/>
      <c r="H147" s="130"/>
      <c r="I147" s="132">
        <f t="shared" si="8"/>
        <v>0</v>
      </c>
      <c r="J147" s="128"/>
      <c r="K147" s="126">
        <f>RANK(I147,I2:I161)</f>
        <v>44</v>
      </c>
      <c r="L147" s="153">
        <f t="shared" si="9"/>
      </c>
    </row>
    <row r="148" spans="1:12" ht="24.75" customHeight="1">
      <c r="A148" s="148"/>
      <c r="B148" s="135"/>
      <c r="C148" s="130"/>
      <c r="D148" s="130"/>
      <c r="E148" s="130"/>
      <c r="F148" s="130"/>
      <c r="G148" s="130"/>
      <c r="H148" s="130"/>
      <c r="I148" s="132">
        <f t="shared" si="8"/>
        <v>0</v>
      </c>
      <c r="J148" s="128"/>
      <c r="K148" s="126">
        <f>RANK(I148,I2:I161)</f>
        <v>44</v>
      </c>
      <c r="L148" s="153">
        <f t="shared" si="9"/>
      </c>
    </row>
    <row r="149" spans="1:12" ht="24.75" customHeight="1">
      <c r="A149" s="148"/>
      <c r="B149" s="135"/>
      <c r="C149" s="130"/>
      <c r="D149" s="130"/>
      <c r="E149" s="130"/>
      <c r="F149" s="130"/>
      <c r="G149" s="130"/>
      <c r="H149" s="130"/>
      <c r="I149" s="132">
        <f t="shared" si="8"/>
        <v>0</v>
      </c>
      <c r="J149" s="128"/>
      <c r="K149" s="126">
        <f>RANK(I149,I2:I161)</f>
        <v>44</v>
      </c>
      <c r="L149" s="153">
        <f t="shared" si="9"/>
      </c>
    </row>
    <row r="150" spans="1:12" ht="24.75" customHeight="1">
      <c r="A150" s="148"/>
      <c r="B150" s="135"/>
      <c r="C150" s="130"/>
      <c r="D150" s="130"/>
      <c r="E150" s="130"/>
      <c r="F150" s="130"/>
      <c r="G150" s="130"/>
      <c r="H150" s="130"/>
      <c r="I150" s="132">
        <f t="shared" si="8"/>
        <v>0</v>
      </c>
      <c r="J150" s="128"/>
      <c r="K150" s="126">
        <f>RANK(I150,I2:I161)</f>
        <v>44</v>
      </c>
      <c r="L150" s="153">
        <f t="shared" si="9"/>
      </c>
    </row>
    <row r="151" spans="1:12" ht="24.75" customHeight="1">
      <c r="A151" s="148"/>
      <c r="B151" s="135"/>
      <c r="C151" s="130"/>
      <c r="D151" s="130"/>
      <c r="E151" s="130"/>
      <c r="F151" s="130"/>
      <c r="G151" s="130"/>
      <c r="H151" s="130"/>
      <c r="I151" s="132">
        <f t="shared" si="8"/>
        <v>0</v>
      </c>
      <c r="J151" s="128"/>
      <c r="K151" s="126">
        <f>RANK(I151,I2:I161)</f>
        <v>44</v>
      </c>
      <c r="L151" s="153">
        <f t="shared" si="9"/>
      </c>
    </row>
    <row r="152" spans="1:12" ht="24.75" customHeight="1">
      <c r="A152" s="148"/>
      <c r="B152" s="135"/>
      <c r="C152" s="130"/>
      <c r="D152" s="130"/>
      <c r="E152" s="130"/>
      <c r="F152" s="130"/>
      <c r="G152" s="130"/>
      <c r="H152" s="130"/>
      <c r="I152" s="132">
        <f t="shared" si="8"/>
        <v>0</v>
      </c>
      <c r="J152" s="128"/>
      <c r="K152" s="126">
        <f>RANK(I152,I2:I161)</f>
        <v>44</v>
      </c>
      <c r="L152" s="153">
        <f t="shared" si="9"/>
      </c>
    </row>
    <row r="153" spans="1:12" ht="24.75" customHeight="1">
      <c r="A153" s="148"/>
      <c r="B153" s="135"/>
      <c r="C153" s="130"/>
      <c r="D153" s="130"/>
      <c r="E153" s="130"/>
      <c r="F153" s="130"/>
      <c r="G153" s="130"/>
      <c r="H153" s="130"/>
      <c r="I153" s="132">
        <f t="shared" si="8"/>
        <v>0</v>
      </c>
      <c r="J153" s="128"/>
      <c r="K153" s="126">
        <f>RANK(I153,I2:I161)</f>
        <v>44</v>
      </c>
      <c r="L153" s="153">
        <f t="shared" si="9"/>
      </c>
    </row>
    <row r="154" spans="1:12" ht="24.75" customHeight="1">
      <c r="A154" s="148"/>
      <c r="B154" s="135"/>
      <c r="C154" s="130"/>
      <c r="D154" s="130"/>
      <c r="E154" s="130"/>
      <c r="F154" s="130"/>
      <c r="G154" s="130"/>
      <c r="H154" s="130"/>
      <c r="I154" s="132">
        <f t="shared" si="8"/>
        <v>0</v>
      </c>
      <c r="J154" s="128"/>
      <c r="K154" s="126">
        <f>RANK(I154,I2:I161)</f>
        <v>44</v>
      </c>
      <c r="L154" s="153">
        <f t="shared" si="9"/>
      </c>
    </row>
    <row r="155" spans="1:12" ht="24.75" customHeight="1">
      <c r="A155" s="148"/>
      <c r="B155" s="135"/>
      <c r="C155" s="130"/>
      <c r="D155" s="130"/>
      <c r="E155" s="130"/>
      <c r="F155" s="130"/>
      <c r="G155" s="130"/>
      <c r="H155" s="130"/>
      <c r="I155" s="132">
        <f t="shared" si="8"/>
        <v>0</v>
      </c>
      <c r="J155" s="128"/>
      <c r="K155" s="126">
        <f>RANK(I155,I2:I161)</f>
        <v>44</v>
      </c>
      <c r="L155" s="153">
        <f t="shared" si="9"/>
      </c>
    </row>
    <row r="156" spans="1:12" ht="24.75" customHeight="1">
      <c r="A156" s="148"/>
      <c r="B156" s="135"/>
      <c r="C156" s="130"/>
      <c r="D156" s="130"/>
      <c r="E156" s="130"/>
      <c r="F156" s="130"/>
      <c r="G156" s="130"/>
      <c r="H156" s="130"/>
      <c r="I156" s="132">
        <f t="shared" si="8"/>
        <v>0</v>
      </c>
      <c r="J156" s="128"/>
      <c r="K156" s="126">
        <f>RANK(I156,I2:I161)</f>
        <v>44</v>
      </c>
      <c r="L156" s="153">
        <f t="shared" si="9"/>
      </c>
    </row>
    <row r="157" spans="1:12" ht="24.75" customHeight="1">
      <c r="A157" s="148"/>
      <c r="B157" s="135"/>
      <c r="C157" s="130"/>
      <c r="D157" s="130"/>
      <c r="E157" s="130"/>
      <c r="F157" s="130"/>
      <c r="G157" s="130"/>
      <c r="H157" s="130"/>
      <c r="I157" s="132">
        <f t="shared" si="8"/>
        <v>0</v>
      </c>
      <c r="J157" s="128"/>
      <c r="K157" s="126">
        <f>RANK(I157,I2:I161)</f>
        <v>44</v>
      </c>
      <c r="L157" s="153">
        <f t="shared" si="9"/>
      </c>
    </row>
    <row r="158" spans="1:12" ht="24.75" customHeight="1">
      <c r="A158" s="148"/>
      <c r="B158" s="135"/>
      <c r="C158" s="130"/>
      <c r="D158" s="130"/>
      <c r="E158" s="130"/>
      <c r="F158" s="130"/>
      <c r="G158" s="130"/>
      <c r="H158" s="130"/>
      <c r="I158" s="132">
        <f t="shared" si="8"/>
        <v>0</v>
      </c>
      <c r="J158" s="128"/>
      <c r="K158" s="126">
        <f>RANK(I158,I2:I161)</f>
        <v>44</v>
      </c>
      <c r="L158" s="153">
        <f t="shared" si="9"/>
      </c>
    </row>
    <row r="159" spans="1:12" ht="24.75" customHeight="1">
      <c r="A159" s="148"/>
      <c r="B159" s="135"/>
      <c r="C159" s="130"/>
      <c r="D159" s="130"/>
      <c r="E159" s="130"/>
      <c r="F159" s="130"/>
      <c r="G159" s="130"/>
      <c r="H159" s="130"/>
      <c r="I159" s="132">
        <f t="shared" si="8"/>
        <v>0</v>
      </c>
      <c r="J159" s="128"/>
      <c r="K159" s="126">
        <f>RANK(I159,I2:I161)</f>
        <v>44</v>
      </c>
      <c r="L159" s="153">
        <f t="shared" si="9"/>
      </c>
    </row>
    <row r="160" spans="1:12" ht="24.75" customHeight="1">
      <c r="A160" s="148"/>
      <c r="B160" s="135"/>
      <c r="C160" s="130"/>
      <c r="D160" s="130"/>
      <c r="E160" s="130"/>
      <c r="F160" s="130"/>
      <c r="G160" s="130"/>
      <c r="H160" s="130"/>
      <c r="I160" s="132">
        <f t="shared" si="8"/>
        <v>0</v>
      </c>
      <c r="J160" s="128"/>
      <c r="K160" s="126">
        <f>RANK(I160,I2:I161)</f>
        <v>44</v>
      </c>
      <c r="L160" s="153">
        <f t="shared" si="9"/>
      </c>
    </row>
    <row r="161" spans="1:12" ht="24.75" customHeight="1" thickBot="1">
      <c r="A161" s="149"/>
      <c r="B161" s="136"/>
      <c r="C161" s="131"/>
      <c r="D161" s="131"/>
      <c r="E161" s="131"/>
      <c r="F161" s="131"/>
      <c r="G161" s="131"/>
      <c r="H161" s="131"/>
      <c r="I161" s="133">
        <f t="shared" si="8"/>
        <v>0</v>
      </c>
      <c r="J161" s="154"/>
      <c r="K161" s="155">
        <f>RANK(I161,I2:I161)</f>
        <v>44</v>
      </c>
      <c r="L161" s="156">
        <f t="shared" si="9"/>
      </c>
    </row>
    <row r="162" ht="21" thickTop="1"/>
  </sheetData>
  <sheetProtection/>
  <autoFilter ref="B1:B162">
    <sortState ref="B2:B161">
      <sortCondition sortBy="value" ref="B2:B161"/>
    </sortState>
  </autoFilter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Rafinery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Department</dc:creator>
  <cp:keywords/>
  <dc:description/>
  <cp:lastModifiedBy>Alta</cp:lastModifiedBy>
  <cp:lastPrinted>2013-12-26T13:04:24Z</cp:lastPrinted>
  <dcterms:created xsi:type="dcterms:W3CDTF">2008-09-24T08:56:41Z</dcterms:created>
  <dcterms:modified xsi:type="dcterms:W3CDTF">2017-10-31T20:31:37Z</dcterms:modified>
  <cp:category/>
  <cp:version/>
  <cp:contentType/>
  <cp:contentStatus/>
</cp:coreProperties>
</file>