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00" activeTab="4"/>
  </bookViews>
  <sheets>
    <sheet name="Týmy" sheetId="1" r:id="rId1"/>
    <sheet name="Rozpis zápasů" sheetId="2" r:id="rId2"/>
    <sheet name="Výsledky" sheetId="3" r:id="rId3"/>
    <sheet name="Tabulky" sheetId="4" r:id="rId4"/>
    <sheet name="Konečné pořadí" sheetId="5" r:id="rId5"/>
    <sheet name="Soupisk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<sst xmlns="http://schemas.openxmlformats.org/spreadsheetml/2006/main" count="402" uniqueCount="126">
  <si>
    <t>Výsledek</t>
  </si>
  <si>
    <t>:</t>
  </si>
  <si>
    <t>Utkání</t>
  </si>
  <si>
    <r>
      <t xml:space="preserve">Skupina </t>
    </r>
    <r>
      <rPr>
        <b/>
        <sz val="26"/>
        <rFont val="Arial"/>
        <family val="2"/>
      </rPr>
      <t>A</t>
    </r>
  </si>
  <si>
    <r>
      <t xml:space="preserve">Skupina </t>
    </r>
    <r>
      <rPr>
        <b/>
        <sz val="26"/>
        <rFont val="Arial"/>
        <family val="2"/>
      </rPr>
      <t>B</t>
    </r>
  </si>
  <si>
    <r>
      <t xml:space="preserve">Skupina </t>
    </r>
    <r>
      <rPr>
        <b/>
        <sz val="26"/>
        <rFont val="Arial"/>
        <family val="2"/>
      </rPr>
      <t>C</t>
    </r>
  </si>
  <si>
    <t>9:00</t>
  </si>
  <si>
    <t>11:00</t>
  </si>
  <si>
    <t>12:00</t>
  </si>
  <si>
    <t>Čtvrtfinále</t>
  </si>
  <si>
    <t>Semifinále</t>
  </si>
  <si>
    <t>Finále</t>
  </si>
  <si>
    <t>10:00</t>
  </si>
  <si>
    <t>14:00</t>
  </si>
  <si>
    <t>O 3.místo</t>
  </si>
  <si>
    <t>13:00</t>
  </si>
  <si>
    <t>skore</t>
  </si>
  <si>
    <t>body</t>
  </si>
  <si>
    <t>umístění</t>
  </si>
  <si>
    <t>A</t>
  </si>
  <si>
    <t>B</t>
  </si>
  <si>
    <t>C</t>
  </si>
  <si>
    <t>Týmy</t>
  </si>
  <si>
    <t>Konečné pořadí</t>
  </si>
  <si>
    <t>9:12</t>
  </si>
  <si>
    <t>9:24</t>
  </si>
  <si>
    <t>9:36</t>
  </si>
  <si>
    <t>9:48</t>
  </si>
  <si>
    <t>10:12</t>
  </si>
  <si>
    <t>10:24</t>
  </si>
  <si>
    <t>10:36</t>
  </si>
  <si>
    <t>10:48</t>
  </si>
  <si>
    <t>11:12</t>
  </si>
  <si>
    <t>11:24</t>
  </si>
  <si>
    <t>11:36</t>
  </si>
  <si>
    <t>11:48</t>
  </si>
  <si>
    <t>12:12</t>
  </si>
  <si>
    <t>12:24</t>
  </si>
  <si>
    <t>12:36</t>
  </si>
  <si>
    <t>12:48</t>
  </si>
  <si>
    <t>13:12</t>
  </si>
  <si>
    <t>13:24</t>
  </si>
  <si>
    <t>13:36</t>
  </si>
  <si>
    <t>13:48</t>
  </si>
  <si>
    <t>B1</t>
  </si>
  <si>
    <t>B3,C3</t>
  </si>
  <si>
    <t>Vítěz 31</t>
  </si>
  <si>
    <t>Vítěz 32</t>
  </si>
  <si>
    <t>Vítěz 34</t>
  </si>
  <si>
    <t>Vítěz 33</t>
  </si>
  <si>
    <t>Číslo</t>
  </si>
  <si>
    <t>Jméno</t>
  </si>
  <si>
    <t>Mužstvo</t>
  </si>
  <si>
    <t>Rozpis zápasů</t>
  </si>
  <si>
    <t>SKUPINA A</t>
  </si>
  <si>
    <t>body1</t>
  </si>
  <si>
    <t>body2</t>
  </si>
  <si>
    <t>rozdíl skore</t>
  </si>
  <si>
    <t>pořadí</t>
  </si>
  <si>
    <t>b2</t>
  </si>
  <si>
    <t>r2</t>
  </si>
  <si>
    <t>v2</t>
  </si>
  <si>
    <t>i2</t>
  </si>
  <si>
    <t>r1</t>
  </si>
  <si>
    <t>v1</t>
  </si>
  <si>
    <t>p1</t>
  </si>
  <si>
    <t>los</t>
  </si>
  <si>
    <t>pom. b. + los</t>
  </si>
  <si>
    <t>prubezne body</t>
  </si>
  <si>
    <t>prubezne poradi</t>
  </si>
  <si>
    <t>1. místo</t>
  </si>
  <si>
    <t>2. místo</t>
  </si>
  <si>
    <t>3. místo</t>
  </si>
  <si>
    <t>4. místo</t>
  </si>
  <si>
    <t>5. místo</t>
  </si>
  <si>
    <t>SKUPINA B</t>
  </si>
  <si>
    <t>SKUPINA C</t>
  </si>
  <si>
    <t>14:24</t>
  </si>
  <si>
    <t>14:36</t>
  </si>
  <si>
    <t>14:12</t>
  </si>
  <si>
    <t>14:48</t>
  </si>
  <si>
    <t>15:00</t>
  </si>
  <si>
    <t>15:17</t>
  </si>
  <si>
    <t>15:32</t>
  </si>
  <si>
    <t>15:47</t>
  </si>
  <si>
    <t>16:10</t>
  </si>
  <si>
    <t>16:30</t>
  </si>
  <si>
    <t>16:55</t>
  </si>
  <si>
    <t>17:15</t>
  </si>
  <si>
    <t>1B</t>
  </si>
  <si>
    <t>2B</t>
  </si>
  <si>
    <t>1C</t>
  </si>
  <si>
    <t>1A</t>
  </si>
  <si>
    <t>2C</t>
  </si>
  <si>
    <t>2A</t>
  </si>
  <si>
    <t>Vítěz 36</t>
  </si>
  <si>
    <t>Vítěz 35</t>
  </si>
  <si>
    <t>Poražený 35</t>
  </si>
  <si>
    <t>Poražený 36</t>
  </si>
  <si>
    <t>A3,C3</t>
  </si>
  <si>
    <t>Góly</t>
  </si>
  <si>
    <t>4.Ročník Memoriálu Vlastimila Bernase</t>
  </si>
  <si>
    <t>1.místo</t>
  </si>
  <si>
    <t>2.místo</t>
  </si>
  <si>
    <t>3.místo</t>
  </si>
  <si>
    <t>4.místo</t>
  </si>
  <si>
    <t>5.-8.místo</t>
  </si>
  <si>
    <t>9.-15.místo</t>
  </si>
  <si>
    <t>Hyeny</t>
  </si>
  <si>
    <t xml:space="preserve">Gamblers </t>
  </si>
  <si>
    <t>Výb. CV a MO</t>
  </si>
  <si>
    <t>Bílina</t>
  </si>
  <si>
    <t>FC Cutnik t.</t>
  </si>
  <si>
    <t>Partizan Most</t>
  </si>
  <si>
    <t>Sparta Chom.</t>
  </si>
  <si>
    <t>FCH st. gar.</t>
  </si>
  <si>
    <t>TJ Sokol</t>
  </si>
  <si>
    <t>Fénix</t>
  </si>
  <si>
    <t>FCH Most</t>
  </si>
  <si>
    <t>Los banditos</t>
  </si>
  <si>
    <t>Obrnice</t>
  </si>
  <si>
    <t>Kopisty</t>
  </si>
  <si>
    <t xml:space="preserve">GMS - MAKO </t>
  </si>
  <si>
    <t>FCH Most st.garda</t>
  </si>
  <si>
    <t>Výběr CV a MO</t>
  </si>
  <si>
    <t>7.Ročník Memoriálu Vlastimila Bernase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</si>
</sst>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i/>
      <sz val="28"/>
      <name val="Monotype Corsiva"/>
      <family val="4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180"/>
    </xf>
    <xf numFmtId="0" fontId="6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2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3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0" fillId="0" borderId="17" xfId="0" applyBorder="1" applyAlignment="1">
      <alignment/>
    </xf>
    <xf numFmtId="0" fontId="0" fillId="0" borderId="50" xfId="0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51" xfId="0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34" borderId="54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5" borderId="5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55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36" borderId="49" xfId="0" applyFont="1" applyFill="1" applyBorder="1" applyAlignment="1" applyProtection="1">
      <alignment horizontal="center" vertical="center"/>
      <protection hidden="1"/>
    </xf>
    <xf numFmtId="0" fontId="8" fillId="35" borderId="27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58" xfId="0" applyFill="1" applyBorder="1" applyAlignment="1" applyProtection="1">
      <alignment horizontal="center" vertical="center"/>
      <protection hidden="1"/>
    </xf>
    <xf numFmtId="0" fontId="0" fillId="33" borderId="59" xfId="0" applyFill="1" applyBorder="1" applyAlignment="1" applyProtection="1">
      <alignment horizontal="center" vertical="center"/>
      <protection hidden="1"/>
    </xf>
    <xf numFmtId="0" fontId="0" fillId="33" borderId="60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61" xfId="0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0" fillId="33" borderId="6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8" fillId="33" borderId="45" xfId="0" applyFont="1" applyFill="1" applyBorder="1" applyAlignment="1" applyProtection="1">
      <alignment horizontal="center" vertical="center"/>
      <protection hidden="1"/>
    </xf>
    <xf numFmtId="0" fontId="0" fillId="33" borderId="45" xfId="0" applyFill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15" fillId="33" borderId="25" xfId="0" applyFont="1" applyFill="1" applyBorder="1" applyAlignment="1" applyProtection="1">
      <alignment horizontal="center" vertical="center"/>
      <protection hidden="1"/>
    </xf>
    <xf numFmtId="0" fontId="15" fillId="33" borderId="66" xfId="0" applyFont="1" applyFill="1" applyBorder="1" applyAlignment="1" applyProtection="1">
      <alignment horizontal="center" vertical="center"/>
      <protection hidden="1"/>
    </xf>
    <xf numFmtId="0" fontId="15" fillId="33" borderId="29" xfId="0" applyFont="1" applyFill="1" applyBorder="1" applyAlignment="1" applyProtection="1">
      <alignment horizontal="center" vertical="center"/>
      <protection hidden="1"/>
    </xf>
    <xf numFmtId="0" fontId="15" fillId="33" borderId="67" xfId="0" applyFont="1" applyFill="1" applyBorder="1" applyAlignment="1" applyProtection="1">
      <alignment horizontal="center" vertical="center"/>
      <protection hidden="1"/>
    </xf>
    <xf numFmtId="0" fontId="15" fillId="33" borderId="47" xfId="0" applyFont="1" applyFill="1" applyBorder="1" applyAlignment="1" applyProtection="1">
      <alignment horizontal="center" vertical="center"/>
      <protection hidden="1"/>
    </xf>
    <xf numFmtId="0" fontId="15" fillId="33" borderId="68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8" fillId="35" borderId="43" xfId="0" applyFont="1" applyFill="1" applyBorder="1" applyAlignment="1" applyProtection="1">
      <alignment horizontal="center" vertical="center"/>
      <protection hidden="1"/>
    </xf>
    <xf numFmtId="0" fontId="8" fillId="35" borderId="43" xfId="0" applyFont="1" applyFill="1" applyBorder="1" applyAlignment="1">
      <alignment horizontal="center" vertical="center"/>
    </xf>
    <xf numFmtId="0" fontId="8" fillId="35" borderId="33" xfId="0" applyFont="1" applyFill="1" applyBorder="1" applyAlignment="1" applyProtection="1">
      <alignment horizontal="center" vertical="center"/>
      <protection hidden="1"/>
    </xf>
    <xf numFmtId="0" fontId="8" fillId="35" borderId="23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3" fillId="37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3" fillId="36" borderId="50" xfId="0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>
      <alignment horizontal="center" vertical="center"/>
    </xf>
    <xf numFmtId="0" fontId="8" fillId="35" borderId="29" xfId="0" applyFont="1" applyFill="1" applyBorder="1" applyAlignment="1" applyProtection="1">
      <alignment horizontal="center" vertical="center"/>
      <protection hidden="1"/>
    </xf>
    <xf numFmtId="0" fontId="8" fillId="35" borderId="45" xfId="0" applyFont="1" applyFill="1" applyBorder="1" applyAlignment="1" applyProtection="1">
      <alignment horizontal="center" vertical="center"/>
      <protection hidden="1"/>
    </xf>
    <xf numFmtId="0" fontId="3" fillId="34" borderId="29" xfId="0" applyFont="1" applyFill="1" applyBorder="1" applyAlignment="1">
      <alignment horizontal="center" vertical="center"/>
    </xf>
    <xf numFmtId="0" fontId="3" fillId="37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77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8" fillId="35" borderId="78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8" fillId="35" borderId="79" xfId="0" applyFont="1" applyFill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5" fillId="38" borderId="82" xfId="0" applyFont="1" applyFill="1" applyBorder="1" applyAlignment="1">
      <alignment horizontal="center" vertical="center"/>
    </xf>
    <xf numFmtId="0" fontId="5" fillId="38" borderId="83" xfId="0" applyFont="1" applyFill="1" applyBorder="1" applyAlignment="1">
      <alignment horizontal="center" vertical="center"/>
    </xf>
    <xf numFmtId="0" fontId="5" fillId="38" borderId="84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9" borderId="82" xfId="0" applyFont="1" applyFill="1" applyBorder="1" applyAlignment="1">
      <alignment horizontal="center" vertical="center"/>
    </xf>
    <xf numFmtId="0" fontId="5" fillId="39" borderId="83" xfId="0" applyFont="1" applyFill="1" applyBorder="1" applyAlignment="1">
      <alignment horizontal="center" vertical="center"/>
    </xf>
    <xf numFmtId="0" fontId="5" fillId="39" borderId="85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8" borderId="85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7" borderId="54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0" fillId="33" borderId="69" xfId="0" applyFill="1" applyBorder="1" applyAlignment="1" applyProtection="1">
      <alignment horizontal="center" vertical="center"/>
      <protection hidden="1"/>
    </xf>
    <xf numFmtId="0" fontId="0" fillId="33" borderId="58" xfId="0" applyFill="1" applyBorder="1" applyAlignment="1" applyProtection="1">
      <alignment horizontal="center" vertical="center"/>
      <protection hidden="1"/>
    </xf>
    <xf numFmtId="0" fontId="3" fillId="33" borderId="7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83" xfId="0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CH%20Most\Memori&#225;l%20Vlastimila%20Bernase\Kopie%20-%20ms_hokej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ýmy"/>
      <sheetName val="program"/>
      <sheetName val="základní skupiny"/>
      <sheetName val="osmifinále"/>
      <sheetName val="play-off"/>
      <sheetName val="o udržení"/>
    </sheetNames>
    <sheetDataSet>
      <sheetData sheetId="1">
        <row r="154">
          <cell r="E154" t="str">
            <v>1E</v>
          </cell>
        </row>
        <row r="155">
          <cell r="E155" t="str">
            <v>2E</v>
          </cell>
        </row>
        <row r="156">
          <cell r="E156" t="str">
            <v>2F</v>
          </cell>
        </row>
        <row r="157">
          <cell r="E157" t="str">
            <v>1F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7109375" style="27" customWidth="1"/>
    <col min="2" max="2" width="36.8515625" style="0" customWidth="1"/>
  </cols>
  <sheetData>
    <row r="2" ht="16.5" thickBot="1"/>
    <row r="3" spans="1:2" ht="24" thickBot="1">
      <c r="A3" s="187" t="s">
        <v>22</v>
      </c>
      <c r="B3" s="188"/>
    </row>
    <row r="4" spans="1:2" ht="24.75" customHeight="1">
      <c r="A4" s="34">
        <v>1</v>
      </c>
      <c r="B4" s="35" t="s">
        <v>108</v>
      </c>
    </row>
    <row r="5" spans="1:2" ht="24.75" customHeight="1">
      <c r="A5" s="36">
        <v>2</v>
      </c>
      <c r="B5" s="37" t="s">
        <v>109</v>
      </c>
    </row>
    <row r="6" spans="1:2" ht="24.75" customHeight="1">
      <c r="A6" s="36">
        <v>3</v>
      </c>
      <c r="B6" s="37" t="s">
        <v>110</v>
      </c>
    </row>
    <row r="7" spans="1:2" ht="24.75" customHeight="1">
      <c r="A7" s="36">
        <v>4</v>
      </c>
      <c r="B7" s="37" t="s">
        <v>111</v>
      </c>
    </row>
    <row r="8" spans="1:2" ht="24.75" customHeight="1">
      <c r="A8" s="36">
        <v>5</v>
      </c>
      <c r="B8" s="37" t="s">
        <v>112</v>
      </c>
    </row>
    <row r="9" spans="1:2" ht="24.75" customHeight="1">
      <c r="A9" s="36">
        <v>6</v>
      </c>
      <c r="B9" s="37" t="s">
        <v>113</v>
      </c>
    </row>
    <row r="10" spans="1:2" ht="24.75" customHeight="1">
      <c r="A10" s="36">
        <v>7</v>
      </c>
      <c r="B10" s="37" t="s">
        <v>114</v>
      </c>
    </row>
    <row r="11" spans="1:2" ht="24.75" customHeight="1">
      <c r="A11" s="36">
        <v>8</v>
      </c>
      <c r="B11" s="37" t="s">
        <v>115</v>
      </c>
    </row>
    <row r="12" spans="1:2" ht="24.75" customHeight="1">
      <c r="A12" s="36">
        <v>9</v>
      </c>
      <c r="B12" s="37" t="s">
        <v>116</v>
      </c>
    </row>
    <row r="13" spans="1:2" ht="24.75" customHeight="1">
      <c r="A13" s="36">
        <v>10</v>
      </c>
      <c r="B13" s="37" t="s">
        <v>117</v>
      </c>
    </row>
    <row r="14" spans="1:2" ht="24.75" customHeight="1">
      <c r="A14" s="36">
        <v>11</v>
      </c>
      <c r="B14" s="37" t="s">
        <v>118</v>
      </c>
    </row>
    <row r="15" spans="1:2" ht="24.75" customHeight="1">
      <c r="A15" s="36">
        <v>12</v>
      </c>
      <c r="B15" s="37" t="s">
        <v>122</v>
      </c>
    </row>
    <row r="16" spans="1:2" ht="24.75" customHeight="1">
      <c r="A16" s="36">
        <v>13</v>
      </c>
      <c r="B16" s="37" t="s">
        <v>119</v>
      </c>
    </row>
    <row r="17" spans="1:2" ht="24.75" customHeight="1">
      <c r="A17" s="36">
        <v>14</v>
      </c>
      <c r="B17" s="37" t="s">
        <v>120</v>
      </c>
    </row>
    <row r="18" spans="1:2" ht="24.75" customHeight="1" thickBot="1">
      <c r="A18" s="38">
        <v>15</v>
      </c>
      <c r="B18" s="39" t="s">
        <v>121</v>
      </c>
    </row>
  </sheetData>
  <sheetProtection/>
  <mergeCells count="1"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9">
      <selection activeCell="A26" sqref="A26:IV26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29.8515625" style="0" customWidth="1"/>
    <col min="4" max="4" width="31.7109375" style="0" customWidth="1"/>
  </cols>
  <sheetData>
    <row r="1" spans="1:4" ht="31.5" thickBot="1" thickTop="1">
      <c r="A1" s="198" t="s">
        <v>53</v>
      </c>
      <c r="B1" s="199"/>
      <c r="C1" s="199"/>
      <c r="D1" s="200"/>
    </row>
    <row r="2" spans="1:4" ht="21" thickTop="1">
      <c r="A2" s="60">
        <v>1</v>
      </c>
      <c r="B2" s="61" t="s">
        <v>6</v>
      </c>
      <c r="C2" s="62" t="str">
        <f>Týmy!$B$4</f>
        <v>Hyeny</v>
      </c>
      <c r="D2" s="63" t="str">
        <f>Týmy!$B$5</f>
        <v>Gamblers </v>
      </c>
    </row>
    <row r="3" spans="1:4" ht="20.25">
      <c r="A3" s="5">
        <v>2</v>
      </c>
      <c r="B3" s="58" t="s">
        <v>24</v>
      </c>
      <c r="C3" s="7" t="str">
        <f>Týmy!$B$9</f>
        <v>Partizan Most</v>
      </c>
      <c r="D3" s="64" t="str">
        <f>Týmy!$B$10</f>
        <v>Sparta Chom.</v>
      </c>
    </row>
    <row r="4" spans="1:4" ht="20.25">
      <c r="A4" s="5">
        <v>3</v>
      </c>
      <c r="B4" s="58" t="s">
        <v>25</v>
      </c>
      <c r="C4" s="7" t="str">
        <f>Týmy!$B$14</f>
        <v>FCH Most</v>
      </c>
      <c r="D4" s="64" t="str">
        <f>Týmy!$B$15</f>
        <v>GMS - MAKO </v>
      </c>
    </row>
    <row r="5" spans="1:4" ht="20.25">
      <c r="A5" s="5">
        <v>4</v>
      </c>
      <c r="B5" s="58" t="s">
        <v>26</v>
      </c>
      <c r="C5" s="7" t="str">
        <f>Týmy!$B$6</f>
        <v>Výb. CV a MO</v>
      </c>
      <c r="D5" s="64" t="str">
        <f>Týmy!$B$7</f>
        <v>Bílina</v>
      </c>
    </row>
    <row r="6" spans="1:4" ht="20.25">
      <c r="A6" s="5">
        <v>5</v>
      </c>
      <c r="B6" s="58" t="s">
        <v>27</v>
      </c>
      <c r="C6" s="7" t="str">
        <f>Týmy!$B$11</f>
        <v>FCH st. gar.</v>
      </c>
      <c r="D6" s="64" t="str">
        <f>Týmy!$B$12</f>
        <v>TJ Sokol</v>
      </c>
    </row>
    <row r="7" spans="1:4" ht="20.25">
      <c r="A7" s="5">
        <v>6</v>
      </c>
      <c r="B7" s="58" t="s">
        <v>12</v>
      </c>
      <c r="C7" s="7" t="str">
        <f>Týmy!$B$16</f>
        <v>Los banditos</v>
      </c>
      <c r="D7" s="64" t="str">
        <f>Týmy!$B$17</f>
        <v>Obrnice</v>
      </c>
    </row>
    <row r="8" spans="1:4" ht="20.25">
      <c r="A8" s="5">
        <v>7</v>
      </c>
      <c r="B8" s="58" t="s">
        <v>28</v>
      </c>
      <c r="C8" s="7" t="str">
        <f>Týmy!$B$4</f>
        <v>Hyeny</v>
      </c>
      <c r="D8" s="64" t="str">
        <f>Týmy!$B$8</f>
        <v>FC Cutnik t.</v>
      </c>
    </row>
    <row r="9" spans="1:4" ht="20.25">
      <c r="A9" s="5">
        <v>8</v>
      </c>
      <c r="B9" s="58" t="s">
        <v>29</v>
      </c>
      <c r="C9" s="7" t="str">
        <f>Týmy!$B$9</f>
        <v>Partizan Most</v>
      </c>
      <c r="D9" s="64" t="str">
        <f>Týmy!$B$13</f>
        <v>Fénix</v>
      </c>
    </row>
    <row r="10" spans="1:4" ht="20.25">
      <c r="A10" s="5">
        <v>9</v>
      </c>
      <c r="B10" s="58" t="s">
        <v>30</v>
      </c>
      <c r="C10" s="7" t="str">
        <f>Týmy!$B$14</f>
        <v>FCH Most</v>
      </c>
      <c r="D10" s="64" t="str">
        <f>Týmy!$B$18</f>
        <v>Kopisty</v>
      </c>
    </row>
    <row r="11" spans="1:4" ht="20.25">
      <c r="A11" s="5">
        <v>10</v>
      </c>
      <c r="B11" s="58" t="s">
        <v>31</v>
      </c>
      <c r="C11" s="7" t="str">
        <f>Týmy!$B$5</f>
        <v>Gamblers </v>
      </c>
      <c r="D11" s="64" t="str">
        <f>Týmy!$B$6</f>
        <v>Výb. CV a MO</v>
      </c>
    </row>
    <row r="12" spans="1:4" ht="12.75">
      <c r="A12" s="54"/>
      <c r="B12" s="59"/>
      <c r="C12" s="59"/>
      <c r="D12" s="55"/>
    </row>
    <row r="13" spans="1:4" ht="20.25">
      <c r="A13" s="5">
        <v>11</v>
      </c>
      <c r="B13" s="58" t="s">
        <v>7</v>
      </c>
      <c r="C13" s="7" t="str">
        <f>Týmy!$B$10</f>
        <v>Sparta Chom.</v>
      </c>
      <c r="D13" s="64" t="str">
        <f>Týmy!$B$11</f>
        <v>FCH st. gar.</v>
      </c>
    </row>
    <row r="14" spans="1:4" ht="20.25">
      <c r="A14" s="5">
        <v>12</v>
      </c>
      <c r="B14" s="58" t="s">
        <v>32</v>
      </c>
      <c r="C14" s="7" t="str">
        <f>Týmy!$B$15</f>
        <v>GMS - MAKO </v>
      </c>
      <c r="D14" s="64" t="str">
        <f>Týmy!$B$16</f>
        <v>Los banditos</v>
      </c>
    </row>
    <row r="15" spans="1:4" ht="20.25">
      <c r="A15" s="5">
        <v>13</v>
      </c>
      <c r="B15" s="58" t="s">
        <v>33</v>
      </c>
      <c r="C15" s="7" t="str">
        <f>Týmy!$B$7</f>
        <v>Bílina</v>
      </c>
      <c r="D15" s="64" t="str">
        <f>Týmy!$B$8</f>
        <v>FC Cutnik t.</v>
      </c>
    </row>
    <row r="16" spans="1:4" ht="20.25">
      <c r="A16" s="5">
        <v>14</v>
      </c>
      <c r="B16" s="58" t="s">
        <v>34</v>
      </c>
      <c r="C16" s="7" t="str">
        <f>Týmy!$B$12</f>
        <v>TJ Sokol</v>
      </c>
      <c r="D16" s="64" t="str">
        <f>Týmy!$B$13</f>
        <v>Fénix</v>
      </c>
    </row>
    <row r="17" spans="1:4" ht="20.25">
      <c r="A17" s="5">
        <v>15</v>
      </c>
      <c r="B17" s="58" t="s">
        <v>35</v>
      </c>
      <c r="C17" s="7" t="str">
        <f>Týmy!$B$17</f>
        <v>Obrnice</v>
      </c>
      <c r="D17" s="64" t="str">
        <f>Týmy!$B$18</f>
        <v>Kopisty</v>
      </c>
    </row>
    <row r="18" spans="1:4" ht="20.25">
      <c r="A18" s="5">
        <v>16</v>
      </c>
      <c r="B18" s="58" t="s">
        <v>8</v>
      </c>
      <c r="C18" s="7" t="str">
        <f>Týmy!$B$4</f>
        <v>Hyeny</v>
      </c>
      <c r="D18" s="64" t="str">
        <f>Týmy!$B$6</f>
        <v>Výb. CV a MO</v>
      </c>
    </row>
    <row r="19" spans="1:4" ht="20.25">
      <c r="A19" s="5">
        <v>17</v>
      </c>
      <c r="B19" s="58" t="s">
        <v>36</v>
      </c>
      <c r="C19" s="7" t="str">
        <f>Týmy!$B$9</f>
        <v>Partizan Most</v>
      </c>
      <c r="D19" s="64" t="str">
        <f>Týmy!$B$11</f>
        <v>FCH st. gar.</v>
      </c>
    </row>
    <row r="20" spans="1:4" ht="20.25">
      <c r="A20" s="5">
        <v>18</v>
      </c>
      <c r="B20" s="58" t="s">
        <v>37</v>
      </c>
      <c r="C20" s="7" t="str">
        <f>Týmy!$B$14</f>
        <v>FCH Most</v>
      </c>
      <c r="D20" s="64" t="str">
        <f>Týmy!$B$16</f>
        <v>Los banditos</v>
      </c>
    </row>
    <row r="21" spans="1:4" ht="20.25">
      <c r="A21" s="5">
        <v>19</v>
      </c>
      <c r="B21" s="58" t="s">
        <v>38</v>
      </c>
      <c r="C21" s="7" t="str">
        <f>Týmy!$B$5</f>
        <v>Gamblers </v>
      </c>
      <c r="D21" s="64" t="str">
        <f>Týmy!$B$7</f>
        <v>Bílina</v>
      </c>
    </row>
    <row r="22" spans="1:4" ht="20.25">
      <c r="A22" s="5">
        <v>20</v>
      </c>
      <c r="B22" s="58" t="s">
        <v>39</v>
      </c>
      <c r="C22" s="7" t="str">
        <f>Týmy!$B$10</f>
        <v>Sparta Chom.</v>
      </c>
      <c r="D22" s="64" t="str">
        <f>Týmy!$B$12</f>
        <v>TJ Sokol</v>
      </c>
    </row>
    <row r="23" spans="1:4" ht="12.75">
      <c r="A23" s="54"/>
      <c r="B23" s="59"/>
      <c r="C23" s="59"/>
      <c r="D23" s="55"/>
    </row>
    <row r="24" spans="1:4" ht="20.25">
      <c r="A24" s="5">
        <v>21</v>
      </c>
      <c r="B24" s="58" t="s">
        <v>15</v>
      </c>
      <c r="C24" s="7" t="str">
        <f>Týmy!$B$15</f>
        <v>GMS - MAKO </v>
      </c>
      <c r="D24" s="64" t="str">
        <f>Týmy!$B$17</f>
        <v>Obrnice</v>
      </c>
    </row>
    <row r="25" spans="1:4" ht="20.25">
      <c r="A25" s="5">
        <v>22</v>
      </c>
      <c r="B25" s="58" t="s">
        <v>40</v>
      </c>
      <c r="C25" s="7" t="str">
        <f>Týmy!$B$6</f>
        <v>Výb. CV a MO</v>
      </c>
      <c r="D25" s="64" t="str">
        <f>Týmy!$B$8</f>
        <v>FC Cutnik t.</v>
      </c>
    </row>
    <row r="26" spans="1:4" ht="20.25">
      <c r="A26" s="5">
        <v>23</v>
      </c>
      <c r="B26" s="58" t="s">
        <v>41</v>
      </c>
      <c r="C26" s="7" t="str">
        <f>Týmy!$B$11</f>
        <v>FCH st. gar.</v>
      </c>
      <c r="D26" s="64" t="str">
        <f>Týmy!$B$13</f>
        <v>Fénix</v>
      </c>
    </row>
    <row r="27" spans="1:4" ht="20.25">
      <c r="A27" s="5">
        <v>24</v>
      </c>
      <c r="B27" s="58" t="s">
        <v>42</v>
      </c>
      <c r="C27" s="7" t="str">
        <f>Týmy!$B$16</f>
        <v>Los banditos</v>
      </c>
      <c r="D27" s="64" t="str">
        <f>Týmy!$B$18</f>
        <v>Kopisty</v>
      </c>
    </row>
    <row r="28" spans="1:4" ht="20.25">
      <c r="A28" s="5">
        <v>25</v>
      </c>
      <c r="B28" s="58" t="s">
        <v>43</v>
      </c>
      <c r="C28" s="7" t="str">
        <f>Týmy!$B$4</f>
        <v>Hyeny</v>
      </c>
      <c r="D28" s="64" t="str">
        <f>Týmy!$B$7</f>
        <v>Bílina</v>
      </c>
    </row>
    <row r="29" spans="1:4" ht="20.25">
      <c r="A29" s="5">
        <v>26</v>
      </c>
      <c r="B29" s="58" t="s">
        <v>13</v>
      </c>
      <c r="C29" s="7" t="str">
        <f>Týmy!$B$9</f>
        <v>Partizan Most</v>
      </c>
      <c r="D29" s="64" t="str">
        <f>Týmy!$B$12</f>
        <v>TJ Sokol</v>
      </c>
    </row>
    <row r="30" spans="1:4" ht="20.25">
      <c r="A30" s="5">
        <v>27</v>
      </c>
      <c r="B30" s="58" t="s">
        <v>79</v>
      </c>
      <c r="C30" s="7" t="str">
        <f>Týmy!$B$14</f>
        <v>FCH Most</v>
      </c>
      <c r="D30" s="64" t="str">
        <f>Týmy!$B$17</f>
        <v>Obrnice</v>
      </c>
    </row>
    <row r="31" spans="1:4" ht="20.25">
      <c r="A31" s="5">
        <v>28</v>
      </c>
      <c r="B31" s="58" t="s">
        <v>77</v>
      </c>
      <c r="C31" s="7" t="str">
        <f>Týmy!$B$5</f>
        <v>Gamblers </v>
      </c>
      <c r="D31" s="64" t="str">
        <f>Týmy!$B$8</f>
        <v>FC Cutnik t.</v>
      </c>
    </row>
    <row r="32" spans="1:4" ht="20.25">
      <c r="A32" s="5">
        <v>29</v>
      </c>
      <c r="B32" s="58" t="s">
        <v>78</v>
      </c>
      <c r="C32" s="7" t="str">
        <f>Týmy!$B$10</f>
        <v>Sparta Chom.</v>
      </c>
      <c r="D32" s="64" t="str">
        <f>Týmy!$B$13</f>
        <v>Fénix</v>
      </c>
    </row>
    <row r="33" spans="1:4" ht="21" thickBot="1">
      <c r="A33" s="5">
        <v>30</v>
      </c>
      <c r="B33" s="58" t="s">
        <v>80</v>
      </c>
      <c r="C33" s="7" t="str">
        <f>Týmy!$B$15</f>
        <v>GMS - MAKO </v>
      </c>
      <c r="D33" s="64" t="str">
        <f>Týmy!$B$18</f>
        <v>Kopisty</v>
      </c>
    </row>
    <row r="34" spans="1:4" ht="55.5" thickBot="1" thickTop="1">
      <c r="A34" s="1" t="s">
        <v>2</v>
      </c>
      <c r="B34" s="201" t="s">
        <v>9</v>
      </c>
      <c r="C34" s="202"/>
      <c r="D34" s="203"/>
    </row>
    <row r="35" spans="1:4" ht="21" thickTop="1">
      <c r="A35" s="2">
        <v>31</v>
      </c>
      <c r="B35" s="3" t="s">
        <v>81</v>
      </c>
      <c r="C35" s="114" t="s">
        <v>92</v>
      </c>
      <c r="D35" s="119" t="s">
        <v>45</v>
      </c>
    </row>
    <row r="36" spans="1:4" ht="20.25">
      <c r="A36" s="5">
        <v>32</v>
      </c>
      <c r="B36" s="6" t="s">
        <v>82</v>
      </c>
      <c r="C36" s="115" t="s">
        <v>89</v>
      </c>
      <c r="D36" s="120" t="s">
        <v>93</v>
      </c>
    </row>
    <row r="37" spans="1:4" ht="20.25">
      <c r="A37" s="5">
        <v>33</v>
      </c>
      <c r="B37" s="6" t="s">
        <v>83</v>
      </c>
      <c r="C37" s="115" t="s">
        <v>90</v>
      </c>
      <c r="D37" s="120" t="s">
        <v>99</v>
      </c>
    </row>
    <row r="38" spans="1:4" ht="21" thickBot="1">
      <c r="A38" s="8">
        <v>34</v>
      </c>
      <c r="B38" s="9" t="s">
        <v>84</v>
      </c>
      <c r="C38" s="116" t="s">
        <v>91</v>
      </c>
      <c r="D38" s="120" t="s">
        <v>94</v>
      </c>
    </row>
    <row r="39" spans="1:4" ht="55.5" thickBot="1" thickTop="1">
      <c r="A39" s="1" t="s">
        <v>2</v>
      </c>
      <c r="B39" s="192" t="s">
        <v>10</v>
      </c>
      <c r="C39" s="193"/>
      <c r="D39" s="194"/>
    </row>
    <row r="40" spans="1:4" ht="21" thickTop="1">
      <c r="A40" s="2">
        <v>35</v>
      </c>
      <c r="B40" s="3" t="s">
        <v>85</v>
      </c>
      <c r="C40" s="4" t="s">
        <v>46</v>
      </c>
      <c r="D40" s="117" t="s">
        <v>47</v>
      </c>
    </row>
    <row r="41" spans="1:4" ht="21" thickBot="1">
      <c r="A41" s="8">
        <v>36</v>
      </c>
      <c r="B41" s="9" t="s">
        <v>86</v>
      </c>
      <c r="C41" s="10" t="s">
        <v>49</v>
      </c>
      <c r="D41" s="65" t="s">
        <v>48</v>
      </c>
    </row>
    <row r="42" spans="1:4" ht="55.5" thickBot="1" thickTop="1">
      <c r="A42" s="1" t="s">
        <v>2</v>
      </c>
      <c r="B42" s="195" t="s">
        <v>14</v>
      </c>
      <c r="C42" s="196"/>
      <c r="D42" s="197"/>
    </row>
    <row r="43" spans="1:4" ht="21.75" thickBot="1" thickTop="1">
      <c r="A43" s="11">
        <v>37</v>
      </c>
      <c r="B43" s="12" t="s">
        <v>87</v>
      </c>
      <c r="C43" s="13" t="s">
        <v>97</v>
      </c>
      <c r="D43" s="118" t="s">
        <v>98</v>
      </c>
    </row>
    <row r="44" spans="1:4" ht="55.5" thickBot="1" thickTop="1">
      <c r="A44" s="1" t="s">
        <v>2</v>
      </c>
      <c r="B44" s="189" t="s">
        <v>11</v>
      </c>
      <c r="C44" s="190"/>
      <c r="D44" s="191"/>
    </row>
    <row r="45" spans="1:4" ht="21.75" thickBot="1" thickTop="1">
      <c r="A45" s="11">
        <v>38</v>
      </c>
      <c r="B45" s="12" t="s">
        <v>88</v>
      </c>
      <c r="C45" s="13" t="s">
        <v>96</v>
      </c>
      <c r="D45" s="118" t="s">
        <v>95</v>
      </c>
    </row>
    <row r="46" ht="13.5" thickTop="1"/>
  </sheetData>
  <sheetProtection/>
  <mergeCells count="5">
    <mergeCell ref="B44:D44"/>
    <mergeCell ref="B39:D39"/>
    <mergeCell ref="B42:D42"/>
    <mergeCell ref="A1:D1"/>
    <mergeCell ref="B34:D3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40">
      <selection activeCell="R46" sqref="R46"/>
    </sheetView>
  </sheetViews>
  <sheetFormatPr defaultColWidth="9.140625" defaultRowHeight="12.75"/>
  <cols>
    <col min="1" max="1" width="6.140625" style="0" customWidth="1"/>
    <col min="3" max="4" width="35.7109375" style="0" customWidth="1"/>
    <col min="5" max="5" width="6.7109375" style="0" customWidth="1"/>
    <col min="6" max="6" width="1.28515625" style="0" customWidth="1"/>
    <col min="7" max="7" width="6.7109375" style="0" customWidth="1"/>
    <col min="8" max="8" width="6.7109375" style="0" hidden="1" customWidth="1"/>
    <col min="9" max="10" width="0" style="0" hidden="1" customWidth="1"/>
    <col min="11" max="12" width="20.7109375" style="0" hidden="1" customWidth="1"/>
    <col min="13" max="16" width="0" style="0" hidden="1" customWidth="1"/>
  </cols>
  <sheetData>
    <row r="1" spans="1:8" ht="64.5" customHeight="1" thickBot="1" thickTop="1">
      <c r="A1" s="1" t="s">
        <v>2</v>
      </c>
      <c r="B1" s="204" t="s">
        <v>3</v>
      </c>
      <c r="C1" s="205"/>
      <c r="D1" s="206"/>
      <c r="E1" s="207" t="s">
        <v>0</v>
      </c>
      <c r="F1" s="208"/>
      <c r="G1" s="209"/>
      <c r="H1" s="66"/>
    </row>
    <row r="2" spans="1:8" ht="21" thickTop="1">
      <c r="A2" s="2">
        <v>1</v>
      </c>
      <c r="B2" s="3" t="s">
        <v>6</v>
      </c>
      <c r="C2" s="91" t="str">
        <f>Týmy!$B$4</f>
        <v>Hyeny</v>
      </c>
      <c r="D2" s="92" t="str">
        <f>Týmy!$B$5</f>
        <v>Gamblers </v>
      </c>
      <c r="E2" s="18">
        <v>1</v>
      </c>
      <c r="F2" s="19" t="s">
        <v>1</v>
      </c>
      <c r="G2" s="24">
        <v>1</v>
      </c>
      <c r="H2" s="67"/>
    </row>
    <row r="3" spans="1:8" ht="20.25">
      <c r="A3" s="5">
        <v>4</v>
      </c>
      <c r="B3" s="6" t="s">
        <v>26</v>
      </c>
      <c r="C3" s="93" t="str">
        <f>Týmy!$B$6</f>
        <v>Výb. CV a MO</v>
      </c>
      <c r="D3" s="94" t="str">
        <f>Týmy!$B$7</f>
        <v>Bílina</v>
      </c>
      <c r="E3" s="20">
        <v>1</v>
      </c>
      <c r="F3" s="21" t="s">
        <v>1</v>
      </c>
      <c r="G3" s="25">
        <v>1</v>
      </c>
      <c r="H3" s="67"/>
    </row>
    <row r="4" spans="1:8" ht="20.25">
      <c r="A4" s="5">
        <v>7</v>
      </c>
      <c r="B4" s="6" t="s">
        <v>28</v>
      </c>
      <c r="C4" s="93" t="str">
        <f>Týmy!$B$4</f>
        <v>Hyeny</v>
      </c>
      <c r="D4" s="94" t="str">
        <f>Týmy!$B$8</f>
        <v>FC Cutnik t.</v>
      </c>
      <c r="E4" s="20">
        <v>1</v>
      </c>
      <c r="F4" s="21" t="s">
        <v>1</v>
      </c>
      <c r="G4" s="25">
        <v>1</v>
      </c>
      <c r="H4" s="67"/>
    </row>
    <row r="5" spans="1:8" ht="20.25">
      <c r="A5" s="5">
        <v>10</v>
      </c>
      <c r="B5" s="6" t="s">
        <v>31</v>
      </c>
      <c r="C5" s="93" t="str">
        <f>Týmy!$B$5</f>
        <v>Gamblers </v>
      </c>
      <c r="D5" s="94" t="str">
        <f>Týmy!$B$6</f>
        <v>Výb. CV a MO</v>
      </c>
      <c r="E5" s="20">
        <v>2</v>
      </c>
      <c r="F5" s="21" t="s">
        <v>1</v>
      </c>
      <c r="G5" s="25">
        <v>2</v>
      </c>
      <c r="H5" s="67"/>
    </row>
    <row r="6" spans="1:8" ht="20.25">
      <c r="A6" s="5">
        <v>13</v>
      </c>
      <c r="B6" s="6" t="s">
        <v>33</v>
      </c>
      <c r="C6" s="93" t="str">
        <f>Týmy!$B$7</f>
        <v>Bílina</v>
      </c>
      <c r="D6" s="94" t="str">
        <f>Týmy!$B$8</f>
        <v>FC Cutnik t.</v>
      </c>
      <c r="E6" s="20">
        <v>1</v>
      </c>
      <c r="F6" s="21" t="s">
        <v>1</v>
      </c>
      <c r="G6" s="25">
        <v>0</v>
      </c>
      <c r="H6" s="67"/>
    </row>
    <row r="7" spans="1:8" ht="20.25">
      <c r="A7" s="5">
        <v>16</v>
      </c>
      <c r="B7" s="6" t="s">
        <v>8</v>
      </c>
      <c r="C7" s="93" t="str">
        <f>Týmy!$B$4</f>
        <v>Hyeny</v>
      </c>
      <c r="D7" s="94" t="str">
        <f>Týmy!$B$6</f>
        <v>Výb. CV a MO</v>
      </c>
      <c r="E7" s="20">
        <v>0</v>
      </c>
      <c r="F7" s="21" t="s">
        <v>1</v>
      </c>
      <c r="G7" s="25">
        <v>0</v>
      </c>
      <c r="H7" s="67"/>
    </row>
    <row r="8" spans="1:8" ht="20.25">
      <c r="A8" s="5">
        <v>19</v>
      </c>
      <c r="B8" s="6" t="s">
        <v>38</v>
      </c>
      <c r="C8" s="93" t="str">
        <f>Týmy!$B$5</f>
        <v>Gamblers </v>
      </c>
      <c r="D8" s="94" t="str">
        <f>Týmy!$B$7</f>
        <v>Bílina</v>
      </c>
      <c r="E8" s="20">
        <v>4</v>
      </c>
      <c r="F8" s="21" t="s">
        <v>1</v>
      </c>
      <c r="G8" s="25">
        <v>1</v>
      </c>
      <c r="H8" s="67"/>
    </row>
    <row r="9" spans="1:8" ht="20.25">
      <c r="A9" s="5">
        <v>22</v>
      </c>
      <c r="B9" s="6" t="s">
        <v>40</v>
      </c>
      <c r="C9" s="93" t="str">
        <f>Týmy!$B$6</f>
        <v>Výb. CV a MO</v>
      </c>
      <c r="D9" s="94" t="str">
        <f>Týmy!$B$8</f>
        <v>FC Cutnik t.</v>
      </c>
      <c r="E9" s="20">
        <v>0</v>
      </c>
      <c r="F9" s="21" t="s">
        <v>1</v>
      </c>
      <c r="G9" s="25">
        <v>1</v>
      </c>
      <c r="H9" s="67"/>
    </row>
    <row r="10" spans="1:8" ht="20.25">
      <c r="A10" s="5">
        <v>25</v>
      </c>
      <c r="B10" s="6" t="s">
        <v>43</v>
      </c>
      <c r="C10" s="93" t="str">
        <f>Týmy!$B$4</f>
        <v>Hyeny</v>
      </c>
      <c r="D10" s="94" t="str">
        <f>Týmy!$B$7</f>
        <v>Bílina</v>
      </c>
      <c r="E10" s="20">
        <v>0</v>
      </c>
      <c r="F10" s="21" t="s">
        <v>1</v>
      </c>
      <c r="G10" s="25">
        <v>1</v>
      </c>
      <c r="H10" s="67"/>
    </row>
    <row r="11" spans="1:8" ht="21" thickBot="1">
      <c r="A11" s="5">
        <v>28</v>
      </c>
      <c r="B11" s="6" t="s">
        <v>77</v>
      </c>
      <c r="C11" s="93" t="str">
        <f>Týmy!$B$5</f>
        <v>Gamblers </v>
      </c>
      <c r="D11" s="94" t="str">
        <f>Týmy!$B$8</f>
        <v>FC Cutnik t.</v>
      </c>
      <c r="E11" s="22">
        <v>2</v>
      </c>
      <c r="F11" s="23" t="s">
        <v>1</v>
      </c>
      <c r="G11" s="26">
        <v>1</v>
      </c>
      <c r="H11" s="67"/>
    </row>
    <row r="12" spans="1:8" ht="64.5" customHeight="1" thickBot="1" thickTop="1">
      <c r="A12" s="1" t="s">
        <v>2</v>
      </c>
      <c r="B12" s="204" t="s">
        <v>4</v>
      </c>
      <c r="C12" s="205"/>
      <c r="D12" s="206"/>
      <c r="E12" s="210" t="s">
        <v>0</v>
      </c>
      <c r="F12" s="211"/>
      <c r="G12" s="212"/>
      <c r="H12" s="68"/>
    </row>
    <row r="13" spans="1:8" ht="21" thickTop="1">
      <c r="A13" s="2">
        <v>2</v>
      </c>
      <c r="B13" s="3" t="s">
        <v>24</v>
      </c>
      <c r="C13" s="91" t="str">
        <f>Týmy!$B$9</f>
        <v>Partizan Most</v>
      </c>
      <c r="D13" s="92" t="str">
        <f>Týmy!$B$10</f>
        <v>Sparta Chom.</v>
      </c>
      <c r="E13" s="18">
        <v>1</v>
      </c>
      <c r="F13" s="19" t="s">
        <v>1</v>
      </c>
      <c r="G13" s="28">
        <v>1</v>
      </c>
      <c r="H13" s="69"/>
    </row>
    <row r="14" spans="1:8" ht="20.25">
      <c r="A14" s="5">
        <v>5</v>
      </c>
      <c r="B14" s="6" t="s">
        <v>27</v>
      </c>
      <c r="C14" s="93" t="str">
        <f>Týmy!$B$11</f>
        <v>FCH st. gar.</v>
      </c>
      <c r="D14" s="94" t="str">
        <f>Týmy!$B$12</f>
        <v>TJ Sokol</v>
      </c>
      <c r="E14" s="20">
        <v>2</v>
      </c>
      <c r="F14" s="21" t="s">
        <v>1</v>
      </c>
      <c r="G14" s="29">
        <v>1</v>
      </c>
      <c r="H14" s="69"/>
    </row>
    <row r="15" spans="1:8" ht="20.25">
      <c r="A15" s="5">
        <v>8</v>
      </c>
      <c r="B15" s="6" t="s">
        <v>29</v>
      </c>
      <c r="C15" s="93" t="str">
        <f>Týmy!$B$9</f>
        <v>Partizan Most</v>
      </c>
      <c r="D15" s="94" t="str">
        <f>Týmy!$B$13</f>
        <v>Fénix</v>
      </c>
      <c r="E15" s="20">
        <v>2</v>
      </c>
      <c r="F15" s="21" t="s">
        <v>1</v>
      </c>
      <c r="G15" s="29">
        <v>0</v>
      </c>
      <c r="H15" s="69"/>
    </row>
    <row r="16" spans="1:8" ht="20.25">
      <c r="A16" s="5">
        <v>11</v>
      </c>
      <c r="B16" s="6" t="s">
        <v>7</v>
      </c>
      <c r="C16" s="93" t="str">
        <f>Týmy!$B$10</f>
        <v>Sparta Chom.</v>
      </c>
      <c r="D16" s="94" t="str">
        <f>Týmy!$B$11</f>
        <v>FCH st. gar.</v>
      </c>
      <c r="E16" s="20">
        <v>0</v>
      </c>
      <c r="F16" s="21" t="s">
        <v>1</v>
      </c>
      <c r="G16" s="29">
        <v>0</v>
      </c>
      <c r="H16" s="69"/>
    </row>
    <row r="17" spans="1:8" ht="20.25">
      <c r="A17" s="5">
        <v>14</v>
      </c>
      <c r="B17" s="6" t="s">
        <v>34</v>
      </c>
      <c r="C17" s="93" t="str">
        <f>Týmy!$B$12</f>
        <v>TJ Sokol</v>
      </c>
      <c r="D17" s="94" t="str">
        <f>Týmy!$B$13</f>
        <v>Fénix</v>
      </c>
      <c r="E17" s="20">
        <v>4</v>
      </c>
      <c r="F17" s="21" t="s">
        <v>1</v>
      </c>
      <c r="G17" s="29">
        <v>0</v>
      </c>
      <c r="H17" s="69"/>
    </row>
    <row r="18" spans="1:8" ht="20.25">
      <c r="A18" s="5">
        <v>17</v>
      </c>
      <c r="B18" s="6" t="s">
        <v>36</v>
      </c>
      <c r="C18" s="93" t="str">
        <f>Týmy!$B$9</f>
        <v>Partizan Most</v>
      </c>
      <c r="D18" s="94" t="str">
        <f>Týmy!$B$11</f>
        <v>FCH st. gar.</v>
      </c>
      <c r="E18" s="20">
        <v>1</v>
      </c>
      <c r="F18" s="21" t="s">
        <v>1</v>
      </c>
      <c r="G18" s="29">
        <v>0</v>
      </c>
      <c r="H18" s="69"/>
    </row>
    <row r="19" spans="1:8" ht="20.25">
      <c r="A19" s="5">
        <v>20</v>
      </c>
      <c r="B19" s="6" t="s">
        <v>39</v>
      </c>
      <c r="C19" s="93" t="str">
        <f>Týmy!$B$10</f>
        <v>Sparta Chom.</v>
      </c>
      <c r="D19" s="94" t="str">
        <f>Týmy!$B$12</f>
        <v>TJ Sokol</v>
      </c>
      <c r="E19" s="20">
        <v>3</v>
      </c>
      <c r="F19" s="21" t="s">
        <v>1</v>
      </c>
      <c r="G19" s="29">
        <v>0</v>
      </c>
      <c r="H19" s="69"/>
    </row>
    <row r="20" spans="1:8" ht="20.25">
      <c r="A20" s="5">
        <v>23</v>
      </c>
      <c r="B20" s="6" t="s">
        <v>41</v>
      </c>
      <c r="C20" s="93" t="str">
        <f>Týmy!$B$11</f>
        <v>FCH st. gar.</v>
      </c>
      <c r="D20" s="94" t="str">
        <f>Týmy!$B$13</f>
        <v>Fénix</v>
      </c>
      <c r="E20" s="20">
        <v>0</v>
      </c>
      <c r="F20" s="21" t="s">
        <v>1</v>
      </c>
      <c r="G20" s="29">
        <v>1</v>
      </c>
      <c r="H20" s="69"/>
    </row>
    <row r="21" spans="1:8" ht="20.25">
      <c r="A21" s="5">
        <v>26</v>
      </c>
      <c r="B21" s="6" t="s">
        <v>13</v>
      </c>
      <c r="C21" s="93" t="str">
        <f>Týmy!$B$9</f>
        <v>Partizan Most</v>
      </c>
      <c r="D21" s="94" t="str">
        <f>Týmy!$B$12</f>
        <v>TJ Sokol</v>
      </c>
      <c r="E21" s="20">
        <v>3</v>
      </c>
      <c r="F21" s="21" t="s">
        <v>1</v>
      </c>
      <c r="G21" s="29">
        <v>0</v>
      </c>
      <c r="H21" s="69"/>
    </row>
    <row r="22" spans="1:8" ht="21" thickBot="1">
      <c r="A22" s="40">
        <v>29</v>
      </c>
      <c r="B22" s="41" t="s">
        <v>78</v>
      </c>
      <c r="C22" s="95" t="str">
        <f>Týmy!$B$10</f>
        <v>Sparta Chom.</v>
      </c>
      <c r="D22" s="96" t="str">
        <f>Týmy!$B$13</f>
        <v>Fénix</v>
      </c>
      <c r="E22" s="42">
        <v>1</v>
      </c>
      <c r="F22" s="43" t="s">
        <v>1</v>
      </c>
      <c r="G22" s="44">
        <v>0</v>
      </c>
      <c r="H22" s="69"/>
    </row>
    <row r="23" spans="1:8" ht="64.5" customHeight="1" thickBot="1" thickTop="1">
      <c r="A23" s="1" t="s">
        <v>2</v>
      </c>
      <c r="B23" s="204" t="s">
        <v>5</v>
      </c>
      <c r="C23" s="205"/>
      <c r="D23" s="206"/>
      <c r="E23" s="213" t="s">
        <v>0</v>
      </c>
      <c r="F23" s="211"/>
      <c r="G23" s="212"/>
      <c r="H23" s="68"/>
    </row>
    <row r="24" spans="1:8" ht="21" thickTop="1">
      <c r="A24" s="2">
        <v>3</v>
      </c>
      <c r="B24" s="3" t="s">
        <v>25</v>
      </c>
      <c r="C24" s="91" t="str">
        <f>Týmy!$B$14</f>
        <v>FCH Most</v>
      </c>
      <c r="D24" s="92" t="str">
        <f>Týmy!$B$15</f>
        <v>GMS - MAKO </v>
      </c>
      <c r="E24" s="18">
        <v>1</v>
      </c>
      <c r="F24" s="46" t="s">
        <v>1</v>
      </c>
      <c r="G24" s="24">
        <v>1</v>
      </c>
      <c r="H24" s="67"/>
    </row>
    <row r="25" spans="1:8" ht="20.25">
      <c r="A25" s="5">
        <v>6</v>
      </c>
      <c r="B25" s="6" t="s">
        <v>12</v>
      </c>
      <c r="C25" s="93" t="str">
        <f>Týmy!$B$16</f>
        <v>Los banditos</v>
      </c>
      <c r="D25" s="94" t="str">
        <f>Týmy!$B$17</f>
        <v>Obrnice</v>
      </c>
      <c r="E25" s="20">
        <v>0</v>
      </c>
      <c r="F25" s="31" t="s">
        <v>1</v>
      </c>
      <c r="G25" s="25">
        <v>1</v>
      </c>
      <c r="H25" s="67"/>
    </row>
    <row r="26" spans="1:8" ht="20.25">
      <c r="A26" s="5">
        <v>9</v>
      </c>
      <c r="B26" s="6" t="s">
        <v>30</v>
      </c>
      <c r="C26" s="93" t="str">
        <f>Týmy!$B$14</f>
        <v>FCH Most</v>
      </c>
      <c r="D26" s="94" t="str">
        <f>Týmy!$B$18</f>
        <v>Kopisty</v>
      </c>
      <c r="E26" s="20">
        <v>3</v>
      </c>
      <c r="F26" s="31" t="s">
        <v>1</v>
      </c>
      <c r="G26" s="25">
        <v>0</v>
      </c>
      <c r="H26" s="67"/>
    </row>
    <row r="27" spans="1:8" ht="20.25">
      <c r="A27" s="5">
        <v>12</v>
      </c>
      <c r="B27" s="6" t="s">
        <v>32</v>
      </c>
      <c r="C27" s="93" t="str">
        <f>Týmy!$B$15</f>
        <v>GMS - MAKO </v>
      </c>
      <c r="D27" s="94" t="str">
        <f>Týmy!$B$16</f>
        <v>Los banditos</v>
      </c>
      <c r="E27" s="20">
        <v>3</v>
      </c>
      <c r="F27" s="31" t="s">
        <v>1</v>
      </c>
      <c r="G27" s="25">
        <v>0</v>
      </c>
      <c r="H27" s="67"/>
    </row>
    <row r="28" spans="1:8" ht="20.25">
      <c r="A28" s="5">
        <v>15</v>
      </c>
      <c r="B28" s="6" t="s">
        <v>35</v>
      </c>
      <c r="C28" s="93" t="str">
        <f>Týmy!$B$17</f>
        <v>Obrnice</v>
      </c>
      <c r="D28" s="94" t="str">
        <f>Týmy!$B$18</f>
        <v>Kopisty</v>
      </c>
      <c r="E28" s="20">
        <v>2</v>
      </c>
      <c r="F28" s="31" t="s">
        <v>1</v>
      </c>
      <c r="G28" s="25">
        <v>1</v>
      </c>
      <c r="H28" s="67"/>
    </row>
    <row r="29" spans="1:8" ht="20.25">
      <c r="A29" s="5">
        <v>18</v>
      </c>
      <c r="B29" s="6" t="s">
        <v>37</v>
      </c>
      <c r="C29" s="93" t="str">
        <f>Týmy!$B$14</f>
        <v>FCH Most</v>
      </c>
      <c r="D29" s="94" t="str">
        <f>Týmy!$B$16</f>
        <v>Los banditos</v>
      </c>
      <c r="E29" s="20">
        <v>2</v>
      </c>
      <c r="F29" s="31" t="s">
        <v>1</v>
      </c>
      <c r="G29" s="25">
        <v>0</v>
      </c>
      <c r="H29" s="67"/>
    </row>
    <row r="30" spans="1:8" ht="20.25">
      <c r="A30" s="5">
        <v>21</v>
      </c>
      <c r="B30" s="6" t="s">
        <v>15</v>
      </c>
      <c r="C30" s="93" t="str">
        <f>Týmy!$B$15</f>
        <v>GMS - MAKO </v>
      </c>
      <c r="D30" s="94" t="str">
        <f>Týmy!$B$17</f>
        <v>Obrnice</v>
      </c>
      <c r="E30" s="20">
        <v>2</v>
      </c>
      <c r="F30" s="31" t="s">
        <v>1</v>
      </c>
      <c r="G30" s="25">
        <v>2</v>
      </c>
      <c r="H30" s="67"/>
    </row>
    <row r="31" spans="1:8" ht="20.25">
      <c r="A31" s="5">
        <v>24</v>
      </c>
      <c r="B31" s="6" t="s">
        <v>42</v>
      </c>
      <c r="C31" s="93" t="str">
        <f>Týmy!$B$16</f>
        <v>Los banditos</v>
      </c>
      <c r="D31" s="94" t="str">
        <f>Týmy!$B$18</f>
        <v>Kopisty</v>
      </c>
      <c r="E31" s="20">
        <v>1</v>
      </c>
      <c r="F31" s="31" t="s">
        <v>1</v>
      </c>
      <c r="G31" s="25">
        <v>1</v>
      </c>
      <c r="H31" s="67"/>
    </row>
    <row r="32" spans="1:8" ht="20.25">
      <c r="A32" s="5">
        <v>27</v>
      </c>
      <c r="B32" s="6" t="s">
        <v>79</v>
      </c>
      <c r="C32" s="93" t="str">
        <f>Týmy!$B$14</f>
        <v>FCH Most</v>
      </c>
      <c r="D32" s="94" t="str">
        <f>Týmy!$B$17</f>
        <v>Obrnice</v>
      </c>
      <c r="E32" s="20">
        <v>1</v>
      </c>
      <c r="F32" s="31" t="s">
        <v>1</v>
      </c>
      <c r="G32" s="25">
        <v>2</v>
      </c>
      <c r="H32" s="67"/>
    </row>
    <row r="33" spans="1:8" ht="21" thickBot="1">
      <c r="A33" s="8">
        <v>30</v>
      </c>
      <c r="B33" s="9" t="s">
        <v>80</v>
      </c>
      <c r="C33" s="97" t="str">
        <f>Týmy!$B$15</f>
        <v>GMS - MAKO </v>
      </c>
      <c r="D33" s="98" t="str">
        <f>Týmy!$B$18</f>
        <v>Kopisty</v>
      </c>
      <c r="E33" s="22">
        <v>0</v>
      </c>
      <c r="F33" s="45" t="s">
        <v>1</v>
      </c>
      <c r="G33" s="26">
        <v>0</v>
      </c>
      <c r="H33" s="67"/>
    </row>
    <row r="34" spans="1:8" ht="64.5" customHeight="1" thickBot="1" thickTop="1">
      <c r="A34" s="1" t="s">
        <v>2</v>
      </c>
      <c r="B34" s="201" t="s">
        <v>9</v>
      </c>
      <c r="C34" s="202"/>
      <c r="D34" s="216"/>
      <c r="E34" s="213" t="s">
        <v>0</v>
      </c>
      <c r="F34" s="211"/>
      <c r="G34" s="212"/>
      <c r="H34" s="68"/>
    </row>
    <row r="35" spans="1:12" ht="21" thickTop="1">
      <c r="A35" s="2">
        <v>31</v>
      </c>
      <c r="B35" s="3" t="s">
        <v>81</v>
      </c>
      <c r="C35" s="93" t="str">
        <f>Týmy!$B$5</f>
        <v>Gamblers </v>
      </c>
      <c r="D35" s="17" t="s">
        <v>122</v>
      </c>
      <c r="E35" s="18">
        <v>2</v>
      </c>
      <c r="F35" s="19" t="s">
        <v>1</v>
      </c>
      <c r="G35" s="47">
        <v>0</v>
      </c>
      <c r="H35" s="70"/>
      <c r="K35" s="135" t="str">
        <f>IF(COUNTBLANK(E35:G35)=0,IF(E35&gt;G35,C35,IF(E35&lt;G35,D35,"vítěz")),"vítěz")</f>
        <v>Gamblers </v>
      </c>
      <c r="L35" s="135" t="str">
        <f>IF(COUNTBLANK(E35:G35)=0,IF(E35&lt;G35,C35,IF(E35&gt;G35,D35,"poražený ze čtvrtfinále 1")),"poražený ze čtvrtfinále 1")</f>
        <v>GMS - MAKO </v>
      </c>
    </row>
    <row r="36" spans="1:12" ht="20.25">
      <c r="A36" s="5">
        <v>32</v>
      </c>
      <c r="B36" s="6" t="s">
        <v>82</v>
      </c>
      <c r="C36" s="93" t="str">
        <f>Týmy!$B$9</f>
        <v>Partizan Most</v>
      </c>
      <c r="D36" s="93" t="str">
        <f>Týmy!$B$14</f>
        <v>FCH Most</v>
      </c>
      <c r="E36" s="20">
        <v>3</v>
      </c>
      <c r="F36" s="33" t="s">
        <v>1</v>
      </c>
      <c r="G36" s="48">
        <v>1</v>
      </c>
      <c r="H36" s="70"/>
      <c r="K36" s="135" t="str">
        <f>IF(COUNTBLANK(E36:G36)=0,IF(E36&gt;G36,C36,IF(E36&lt;G36,D36,"vítěz")),"vítěz")</f>
        <v>Partizan Most</v>
      </c>
      <c r="L36" s="135" t="str">
        <f>IF(COUNTBLANK(E36:G36)=0,IF(E36&lt;G36,C36,IF(E36&gt;G36,D36,"poražený ze čtvrtfinále 1")),"poražený ze čtvrtfinále 2")</f>
        <v>FCH Most</v>
      </c>
    </row>
    <row r="37" spans="1:12" ht="20.25">
      <c r="A37" s="5">
        <v>33</v>
      </c>
      <c r="B37" s="6" t="s">
        <v>83</v>
      </c>
      <c r="C37" s="93" t="str">
        <f>Týmy!$B$10</f>
        <v>Sparta Chom.</v>
      </c>
      <c r="D37" s="94" t="str">
        <f>Týmy!$B$8</f>
        <v>FC Cutnik t.</v>
      </c>
      <c r="E37" s="20">
        <v>0</v>
      </c>
      <c r="F37" s="33" t="s">
        <v>1</v>
      </c>
      <c r="G37" s="48">
        <v>1</v>
      </c>
      <c r="H37" s="70"/>
      <c r="K37" s="135" t="str">
        <f>IF(COUNTBLANK(E37:G37)=0,IF(E37&gt;G37,C37,IF(E37&lt;G37,D37,"vítěz")),"vítěz")</f>
        <v>FC Cutnik t.</v>
      </c>
      <c r="L37" s="135" t="str">
        <f>IF(COUNTBLANK(E37:G37)=0,IF(E37&lt;G37,C37,IF(E37&gt;G37,D37,"poražený ze čtvrtfinále 1")),"poražený ze čtvrtfinále 3")</f>
        <v>Sparta Chom.</v>
      </c>
    </row>
    <row r="38" spans="1:12" ht="21" thickBot="1">
      <c r="A38" s="8">
        <v>34</v>
      </c>
      <c r="B38" s="9" t="s">
        <v>84</v>
      </c>
      <c r="C38" s="93" t="str">
        <f>Týmy!$B$17</f>
        <v>Obrnice</v>
      </c>
      <c r="D38" s="93" t="str">
        <f>Týmy!$B$7</f>
        <v>Bílina</v>
      </c>
      <c r="E38" s="22">
        <v>0</v>
      </c>
      <c r="F38" s="49" t="s">
        <v>1</v>
      </c>
      <c r="G38" s="50">
        <v>3</v>
      </c>
      <c r="H38" s="70"/>
      <c r="K38" s="135" t="str">
        <f>IF(COUNTBLANK(E38:G38)=0,IF(E38&gt;G38,C38,IF(E38&lt;G38,D38,"vítěz")),"vítěz")</f>
        <v>Bílina</v>
      </c>
      <c r="L38" s="135" t="str">
        <f>IF(COUNTBLANK(E38:G38)=0,IF(E38&lt;G38,C38,IF(E38&gt;G38,D38,"poražený ze čtvrtfinále 1")),"poražený ze čtvrtfinále 4")</f>
        <v>Obrnice</v>
      </c>
    </row>
    <row r="39" spans="1:12" ht="55.5" thickBot="1" thickTop="1">
      <c r="A39" s="1" t="s">
        <v>2</v>
      </c>
      <c r="B39" s="192" t="s">
        <v>10</v>
      </c>
      <c r="C39" s="193"/>
      <c r="D39" s="217"/>
      <c r="E39" s="213" t="s">
        <v>0</v>
      </c>
      <c r="F39" s="211"/>
      <c r="G39" s="212"/>
      <c r="H39" s="68"/>
      <c r="K39" s="136"/>
      <c r="L39" s="136"/>
    </row>
    <row r="40" spans="1:12" ht="21" thickTop="1">
      <c r="A40" s="2">
        <v>35</v>
      </c>
      <c r="B40" s="3" t="s">
        <v>85</v>
      </c>
      <c r="C40" s="129" t="str">
        <f>IF(COUNTBLANK(E35:G35)=0,IF(E35&lt;G35,D35,IF(E35=G35,1,C35)),"Vítěz 1A/3B,3C")</f>
        <v>Gamblers </v>
      </c>
      <c r="D40" s="130" t="str">
        <f>IF(COUNTBLANK(E36:G36)=0,IF(E36&lt;G36,D36,IF(E36=G36,1,C36)),"Vítěz 1B/2C")</f>
        <v>Partizan Most</v>
      </c>
      <c r="E40" s="18">
        <v>2</v>
      </c>
      <c r="F40" s="19" t="s">
        <v>1</v>
      </c>
      <c r="G40" s="47">
        <v>0</v>
      </c>
      <c r="H40" s="70"/>
      <c r="K40" s="135" t="str">
        <f>IF(COUNTBLANK(E40:G40)=0,IF(E40&gt;G40,C40,IF(E40&lt;G40,D40,"vítěz")),"vítěz")</f>
        <v>Gamblers </v>
      </c>
      <c r="L40" s="135" t="str">
        <f>IF(COUNTBLANK(E40:G40)=0,IF(E40&lt;G40,C40,IF(E40&gt;G40,D40,"poražený")),"poražený")</f>
        <v>Partizan Most</v>
      </c>
    </row>
    <row r="41" spans="1:12" ht="21" thickBot="1">
      <c r="A41" s="8">
        <v>36</v>
      </c>
      <c r="B41" s="9" t="s">
        <v>86</v>
      </c>
      <c r="C41" s="131" t="str">
        <f>IF(COUNTBLANK(E37:G37)=0,IF(E37&lt;G37,D37,IF(E37=G37,1,C37)),"Vítěz 2B/3A,3C")</f>
        <v>FC Cutnik t.</v>
      </c>
      <c r="D41" s="132" t="str">
        <f>IF(COUNTBLANK(E38:G38)=0,IF(E38&lt;G38,D38,IF(E38=G38,1,C38)),"Vítěz 1C/2A")</f>
        <v>Bílina</v>
      </c>
      <c r="E41" s="22">
        <v>2</v>
      </c>
      <c r="F41" s="49" t="s">
        <v>1</v>
      </c>
      <c r="G41" s="50">
        <v>3</v>
      </c>
      <c r="H41" s="70"/>
      <c r="K41" s="135" t="str">
        <f>IF(COUNTBLANK(E41:G41)=0,IF(E41&gt;G41,C41,IF(E41&lt;G41,D41,"vítěz")),"vítěz")</f>
        <v>Bílina</v>
      </c>
      <c r="L41" s="135" t="str">
        <f>IF(COUNTBLANK(E41:G41)=0,IF(E41&lt;G41,C41,IF(E41&gt;G41,D41,"poražený")),"poražený")</f>
        <v>FC Cutnik t.</v>
      </c>
    </row>
    <row r="42" spans="1:12" ht="55.5" thickBot="1" thickTop="1">
      <c r="A42" s="1" t="s">
        <v>2</v>
      </c>
      <c r="B42" s="195" t="s">
        <v>14</v>
      </c>
      <c r="C42" s="196"/>
      <c r="D42" s="214"/>
      <c r="E42" s="213" t="s">
        <v>0</v>
      </c>
      <c r="F42" s="211"/>
      <c r="G42" s="212"/>
      <c r="H42" s="68"/>
      <c r="K42" s="136"/>
      <c r="L42" s="136"/>
    </row>
    <row r="43" spans="1:12" ht="21.75" thickBot="1" thickTop="1">
      <c r="A43" s="11">
        <v>37</v>
      </c>
      <c r="B43" s="12" t="s">
        <v>87</v>
      </c>
      <c r="C43" s="133" t="str">
        <f>IF(COUNTBLANK(E40:G40)=0,IF(E40&lt;G40,C40,IF(E40=G40,1,D40)),"Poražený(1A/3B,3C-1B/2C)")</f>
        <v>Partizan Most</v>
      </c>
      <c r="D43" s="134" t="str">
        <f>IF(COUNTBLANK(E41:G41)=0,IF(E41&lt;G41,C41,IF(F41=H41,1,D41)),"Poražený(2B/3A,3C-1C/2A)")</f>
        <v>FC Cutnik t.</v>
      </c>
      <c r="E43" s="51">
        <v>3</v>
      </c>
      <c r="F43" s="52" t="s">
        <v>1</v>
      </c>
      <c r="G43" s="53">
        <v>0</v>
      </c>
      <c r="H43" s="70"/>
      <c r="K43" s="135" t="str">
        <f>IF(COUNTBLANK(E43:G43)=0,IF(E43&gt;G43,C43,IF(E43&lt;G43,D43,"vítěz o 3. místo")),"vítěz o 3. místo")</f>
        <v>Partizan Most</v>
      </c>
      <c r="L43" s="135" t="str">
        <f>IF(COUNTBLANK(E43:G43)=0,IF(E43&lt;G43,C43,IF(E43&gt;G43,D43,"poražený o 3. místo")),"poražený o 3. místo")</f>
        <v>FC Cutnik t.</v>
      </c>
    </row>
    <row r="44" spans="1:12" ht="55.5" thickBot="1" thickTop="1">
      <c r="A44" s="1" t="s">
        <v>2</v>
      </c>
      <c r="B44" s="189" t="s">
        <v>11</v>
      </c>
      <c r="C44" s="190"/>
      <c r="D44" s="215"/>
      <c r="E44" s="213" t="s">
        <v>0</v>
      </c>
      <c r="F44" s="211"/>
      <c r="G44" s="212"/>
      <c r="H44" s="68"/>
      <c r="K44" s="136"/>
      <c r="L44" s="136"/>
    </row>
    <row r="45" spans="1:12" ht="21.75" thickBot="1" thickTop="1">
      <c r="A45" s="11">
        <v>38</v>
      </c>
      <c r="B45" s="12" t="s">
        <v>88</v>
      </c>
      <c r="C45" s="133" t="str">
        <f>IF(COUNTBLANK(E40:G40)=0,IF(E40&lt;G40,D40,IF(E40=G40,1,C40)),"Vítěz (1A/3B,3C-1B/2C)")</f>
        <v>Gamblers </v>
      </c>
      <c r="D45" s="134" t="str">
        <f>IF(COUNTBLANK(E41:G41)=0,IF(E41&lt;G41,D41,IF(E41=G41,1,C41)),"Vítěz (2B/3A,3C-1C/2A)")</f>
        <v>Bílina</v>
      </c>
      <c r="E45" s="51">
        <v>2</v>
      </c>
      <c r="F45" s="52" t="s">
        <v>1</v>
      </c>
      <c r="G45" s="53">
        <v>0</v>
      </c>
      <c r="H45" s="70"/>
      <c r="K45" s="135" t="str">
        <f>IF(COUNTBLANK(E45:G45)=0,IF(E45&gt;G45,C45,IF(E45&lt;G45,D45,"vítěz finále")),"vítěz finále")</f>
        <v>Gamblers </v>
      </c>
      <c r="L45" s="135" t="str">
        <f>IF(COUNTBLANK(E45:G45)=0,IF(E45&lt;G45,C45,IF(E45&gt;G45,D45,"poražený z finále")),"poražený z finále")</f>
        <v>Bílina</v>
      </c>
    </row>
    <row r="46" spans="1:5" ht="21" thickTop="1">
      <c r="A46" s="14"/>
      <c r="B46" s="15"/>
      <c r="C46" s="14"/>
      <c r="D46" s="14"/>
      <c r="E46" s="16"/>
    </row>
  </sheetData>
  <sheetProtection/>
  <mergeCells count="14">
    <mergeCell ref="B42:D42"/>
    <mergeCell ref="E34:G34"/>
    <mergeCell ref="E39:G39"/>
    <mergeCell ref="E42:G42"/>
    <mergeCell ref="B44:D44"/>
    <mergeCell ref="E44:G44"/>
    <mergeCell ref="B34:D34"/>
    <mergeCell ref="B39:D39"/>
    <mergeCell ref="B1:D1"/>
    <mergeCell ref="B12:D12"/>
    <mergeCell ref="B23:D23"/>
    <mergeCell ref="E1:G1"/>
    <mergeCell ref="E12:G12"/>
    <mergeCell ref="E23:G23"/>
  </mergeCells>
  <printOptions horizontalCentered="1" verticalCentered="1"/>
  <pageMargins left="0" right="0" top="0" bottom="0" header="0" footer="0"/>
  <pageSetup horizontalDpi="600" verticalDpi="600" orientation="portrait" paperSize="9" r:id="rId1"/>
  <ignoredErrors>
    <ignoredError sqref="D5:D6 D9:D10 C3 C14 D16:D17 D20:D21 C25 D27:D28 D31:D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BT43"/>
  <sheetViews>
    <sheetView zoomScalePageLayoutView="0" workbookViewId="0" topLeftCell="J4">
      <selection activeCell="W19" sqref="W19"/>
    </sheetView>
  </sheetViews>
  <sheetFormatPr defaultColWidth="9.140625" defaultRowHeight="19.5" customHeight="1"/>
  <cols>
    <col min="1" max="1" width="6.7109375" style="0" hidden="1" customWidth="1"/>
    <col min="2" max="2" width="10.7109375" style="99" hidden="1" customWidth="1"/>
    <col min="3" max="3" width="3.7109375" style="99" hidden="1" customWidth="1"/>
    <col min="4" max="4" width="1.7109375" style="99" hidden="1" customWidth="1"/>
    <col min="5" max="5" width="3.7109375" style="99" hidden="1" customWidth="1"/>
    <col min="6" max="6" width="10.7109375" style="99" hidden="1" customWidth="1"/>
    <col min="7" max="8" width="6.7109375" style="99" hidden="1" customWidth="1"/>
    <col min="9" max="9" width="6.7109375" style="0" hidden="1" customWidth="1"/>
    <col min="10" max="10" width="29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8.7109375" style="0" hidden="1" customWidth="1"/>
    <col min="15" max="15" width="8.7109375" style="0" customWidth="1"/>
    <col min="16" max="16" width="1.7109375" style="0" customWidth="1"/>
    <col min="17" max="17" width="8.7109375" style="0" customWidth="1"/>
    <col min="18" max="18" width="8.7109375" style="0" hidden="1" customWidth="1"/>
    <col min="19" max="19" width="8.7109375" style="0" customWidth="1"/>
    <col min="20" max="20" width="1.7109375" style="0" customWidth="1"/>
    <col min="21" max="21" width="8.7109375" style="0" customWidth="1"/>
    <col min="22" max="22" width="8.7109375" style="0" hidden="1" customWidth="1"/>
    <col min="23" max="23" width="8.7109375" style="0" customWidth="1"/>
    <col min="24" max="24" width="1.7109375" style="0" customWidth="1"/>
    <col min="25" max="25" width="8.7109375" style="0" customWidth="1"/>
    <col min="26" max="26" width="8.7109375" style="0" hidden="1" customWidth="1"/>
    <col min="27" max="27" width="9.7109375" style="0" customWidth="1"/>
    <col min="28" max="28" width="1.7109375" style="0" customWidth="1"/>
    <col min="29" max="29" width="9.7109375" style="0" customWidth="1"/>
    <col min="30" max="30" width="9.7109375" style="0" hidden="1" customWidth="1"/>
    <col min="31" max="33" width="5.7109375" style="0" customWidth="1"/>
    <col min="34" max="34" width="9.28125" style="0" customWidth="1"/>
    <col min="35" max="35" width="19.57421875" style="0" hidden="1" customWidth="1"/>
    <col min="36" max="36" width="14.57421875" style="0" customWidth="1"/>
    <col min="37" max="37" width="9.140625" style="0" customWidth="1"/>
    <col min="38" max="38" width="7.7109375" style="0" hidden="1" customWidth="1"/>
    <col min="39" max="40" width="11.421875" style="0" hidden="1" customWidth="1"/>
    <col min="41" max="41" width="11.28125" style="0" hidden="1" customWidth="1"/>
    <col min="42" max="42" width="5.140625" style="0" hidden="1" customWidth="1"/>
    <col min="43" max="43" width="4.421875" style="0" hidden="1" customWidth="1"/>
    <col min="44" max="60" width="9.140625" style="0" hidden="1" customWidth="1"/>
    <col min="61" max="61" width="11.421875" style="0" hidden="1" customWidth="1"/>
    <col min="62" max="68" width="9.140625" style="0" hidden="1" customWidth="1"/>
    <col min="69" max="82" width="9.140625" style="0" customWidth="1"/>
  </cols>
  <sheetData>
    <row r="1" ht="19.5" customHeight="1" hidden="1" thickBot="1"/>
    <row r="2" spans="2:8" ht="19.5" customHeight="1" hidden="1" thickTop="1">
      <c r="B2" s="222" t="s">
        <v>54</v>
      </c>
      <c r="C2" s="223"/>
      <c r="D2" s="100"/>
      <c r="E2" s="100"/>
      <c r="F2" s="100">
        <f>COUNTBLANK(C4:E13)</f>
        <v>0</v>
      </c>
      <c r="G2" s="100"/>
      <c r="H2" s="101"/>
    </row>
    <row r="3" spans="2:72" ht="19.5" customHeight="1" hidden="1" thickBot="1">
      <c r="B3" s="102"/>
      <c r="C3" s="103"/>
      <c r="D3" s="103"/>
      <c r="E3" s="103"/>
      <c r="F3" s="103"/>
      <c r="G3" s="103" t="s">
        <v>55</v>
      </c>
      <c r="H3" s="104" t="s">
        <v>56</v>
      </c>
      <c r="AL3" s="32"/>
      <c r="AM3" s="88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32"/>
      <c r="BR3" s="32"/>
      <c r="BS3" s="32"/>
      <c r="BT3" s="32"/>
    </row>
    <row r="4" spans="2:72" ht="19.5" customHeight="1" thickTop="1">
      <c r="B4" s="102" t="str">
        <f>Týmy!$B$4</f>
        <v>Hyeny</v>
      </c>
      <c r="C4" s="103">
        <f>$O$5</f>
        <v>1</v>
      </c>
      <c r="D4" s="105" t="s">
        <v>1</v>
      </c>
      <c r="E4" s="103">
        <f>$Q$5</f>
        <v>1</v>
      </c>
      <c r="F4" s="103" t="str">
        <f>Týmy!$B$5</f>
        <v>Gamblers </v>
      </c>
      <c r="G4" s="103">
        <f aca="true" t="shared" si="0" ref="G4:G13">IF(COUNTBLANK(C4:E4)&gt;0,0,IF(C4&gt;E4,3,IF(C4=E4,1,0)))</f>
        <v>1</v>
      </c>
      <c r="H4" s="104">
        <f aca="true" t="shared" si="1" ref="H4:H13">IF(COUNTBLANK(C4:E4)&gt;0,0,IF(C4&lt;E4,3,IF(C4=E4,1,0)))</f>
        <v>1</v>
      </c>
      <c r="J4" s="171" t="s">
        <v>19</v>
      </c>
      <c r="K4" s="218" t="str">
        <f>Týmy!$B$4</f>
        <v>Hyeny</v>
      </c>
      <c r="L4" s="218"/>
      <c r="M4" s="218"/>
      <c r="N4" s="172"/>
      <c r="O4" s="218" t="str">
        <f>Týmy!$B$5</f>
        <v>Gamblers </v>
      </c>
      <c r="P4" s="218"/>
      <c r="Q4" s="218"/>
      <c r="R4" s="172"/>
      <c r="S4" s="218" t="str">
        <f>Týmy!$B$6</f>
        <v>Výb. CV a MO</v>
      </c>
      <c r="T4" s="218"/>
      <c r="U4" s="218"/>
      <c r="V4" s="150"/>
      <c r="W4" s="224" t="str">
        <f>Týmy!$B$7</f>
        <v>Bílina</v>
      </c>
      <c r="X4" s="225"/>
      <c r="Y4" s="226"/>
      <c r="Z4" s="152"/>
      <c r="AA4" s="218" t="str">
        <f>Týmy!$B$8</f>
        <v>FC Cutnik t.</v>
      </c>
      <c r="AB4" s="218"/>
      <c r="AC4" s="218"/>
      <c r="AD4" s="172"/>
      <c r="AE4" s="218" t="s">
        <v>16</v>
      </c>
      <c r="AF4" s="218"/>
      <c r="AG4" s="218"/>
      <c r="AH4" s="172" t="s">
        <v>17</v>
      </c>
      <c r="AI4" s="150" t="s">
        <v>57</v>
      </c>
      <c r="AJ4" s="173" t="s">
        <v>18</v>
      </c>
      <c r="AL4" s="84" t="s">
        <v>58</v>
      </c>
      <c r="AM4" s="85"/>
      <c r="AN4" s="85" t="s">
        <v>44</v>
      </c>
      <c r="AO4" s="85" t="s">
        <v>59</v>
      </c>
      <c r="AP4" s="85" t="s">
        <v>60</v>
      </c>
      <c r="AQ4" s="85" t="s">
        <v>61</v>
      </c>
      <c r="AR4" s="85" t="s">
        <v>62</v>
      </c>
      <c r="AS4" s="85" t="s">
        <v>63</v>
      </c>
      <c r="AT4" s="85" t="s">
        <v>64</v>
      </c>
      <c r="AU4" s="85" t="s">
        <v>65</v>
      </c>
      <c r="AV4" s="85" t="s">
        <v>66</v>
      </c>
      <c r="AW4" s="85" t="s">
        <v>67</v>
      </c>
      <c r="AX4" s="85" t="s">
        <v>68</v>
      </c>
      <c r="AY4" s="85" t="s">
        <v>69</v>
      </c>
      <c r="AZ4" s="85"/>
      <c r="BA4" s="85" t="s">
        <v>70</v>
      </c>
      <c r="BB4" s="85" t="s">
        <v>71</v>
      </c>
      <c r="BC4" s="85" t="s">
        <v>72</v>
      </c>
      <c r="BD4" s="85" t="s">
        <v>73</v>
      </c>
      <c r="BE4" s="85" t="s">
        <v>74</v>
      </c>
      <c r="BF4" s="85"/>
      <c r="BG4" s="85"/>
      <c r="BH4" s="85"/>
      <c r="BI4" s="85"/>
      <c r="BJ4" s="85">
        <v>1</v>
      </c>
      <c r="BK4" s="85">
        <v>2</v>
      </c>
      <c r="BL4" s="85">
        <v>3</v>
      </c>
      <c r="BM4" s="85">
        <v>4</v>
      </c>
      <c r="BN4" s="85">
        <v>5</v>
      </c>
      <c r="BO4" s="85">
        <v>6</v>
      </c>
      <c r="BP4" s="87"/>
      <c r="BQ4" s="32"/>
      <c r="BR4" s="32"/>
      <c r="BS4" s="32"/>
      <c r="BT4" s="32"/>
    </row>
    <row r="5" spans="2:72" ht="19.5" customHeight="1">
      <c r="B5" s="106" t="str">
        <f>Týmy!$B$4</f>
        <v>Hyeny</v>
      </c>
      <c r="C5" s="107">
        <f>$S$5</f>
        <v>0</v>
      </c>
      <c r="D5" s="105" t="s">
        <v>1</v>
      </c>
      <c r="E5" s="108">
        <f>$U$5</f>
        <v>0</v>
      </c>
      <c r="F5" s="108" t="str">
        <f>Týmy!$B$6</f>
        <v>Výb. CV a MO</v>
      </c>
      <c r="G5" s="103">
        <f t="shared" si="0"/>
        <v>1</v>
      </c>
      <c r="H5" s="104">
        <f t="shared" si="1"/>
        <v>1</v>
      </c>
      <c r="J5" s="157" t="str">
        <f>Týmy!$B$4</f>
        <v>Hyeny</v>
      </c>
      <c r="K5" s="219" t="s">
        <v>19</v>
      </c>
      <c r="L5" s="220"/>
      <c r="M5" s="221"/>
      <c r="N5" s="128"/>
      <c r="O5" s="144">
        <f>IF(ISBLANK(Výsledky!E2),"",Výsledky!E2)</f>
        <v>1</v>
      </c>
      <c r="P5" s="182" t="s">
        <v>1</v>
      </c>
      <c r="Q5" s="81">
        <f>IF(ISBLANK(Výsledky!G2),"",Výsledky!G2)</f>
        <v>1</v>
      </c>
      <c r="R5" s="143">
        <f>IF(COUNTBLANK(O5:Q5)=0,IF(O5&lt;Q5,0,IF(O5=Q5,1,3)),"")</f>
        <v>1</v>
      </c>
      <c r="S5" s="80">
        <f>IF(ISBLANK(Výsledky!E7),"",Výsledky!E7)</f>
        <v>0</v>
      </c>
      <c r="T5" s="182" t="s">
        <v>1</v>
      </c>
      <c r="U5" s="81">
        <f>IF(ISBLANK(Výsledky!G7),"",Výsledky!G7)</f>
        <v>0</v>
      </c>
      <c r="V5" s="90">
        <f>IF(COUNTBLANK(S5:U5)=0,IF(S5&lt;U5,0,IF(S5=U5,1,3)),"")</f>
        <v>1</v>
      </c>
      <c r="W5" s="80">
        <f>IF(ISBLANK(Výsledky!E10),"",Výsledky!E10)</f>
        <v>0</v>
      </c>
      <c r="X5" s="182" t="s">
        <v>1</v>
      </c>
      <c r="Y5" s="81">
        <f>IF(ISBLANK(Výsledky!G10),"",Výsledky!G10)</f>
        <v>1</v>
      </c>
      <c r="Z5" s="90">
        <f>IF(COUNTBLANK(W5:Y5)=0,IF(W5&lt;Y5,0,IF(W5=Y5,1,3)),"")</f>
        <v>0</v>
      </c>
      <c r="AA5" s="80">
        <f>IF(ISBLANK(Výsledky!E4),"",Výsledky!E4)</f>
        <v>1</v>
      </c>
      <c r="AB5" s="182" t="s">
        <v>1</v>
      </c>
      <c r="AC5" s="81">
        <f>IF(ISBLANK(Výsledky!G4),"",Výsledky!G4)</f>
        <v>1</v>
      </c>
      <c r="AD5" s="90">
        <f>IF(COUNTBLANK(AA5:AC5)=0,IF(AA5&lt;AC5,0,IF(AA5=AC5,1,3)),"")</f>
        <v>1</v>
      </c>
      <c r="AE5" s="71">
        <f>SUM(O5,S5,W5,AA5)</f>
        <v>2</v>
      </c>
      <c r="AF5" s="72" t="s">
        <v>1</v>
      </c>
      <c r="AG5" s="73">
        <f>SUM(Q5,U5,Y5,AC5)</f>
        <v>3</v>
      </c>
      <c r="AH5" s="74">
        <f>SUM(G4+G5+G6+G7)</f>
        <v>3</v>
      </c>
      <c r="AI5" s="71">
        <f>SUM(AE5-AG5)</f>
        <v>-1</v>
      </c>
      <c r="AJ5" s="89">
        <f>IF((F2=20),"",AL5)</f>
        <v>4</v>
      </c>
      <c r="AK5" s="32"/>
      <c r="AL5" s="83">
        <f>RANK(AW5,AW5:AW9)</f>
        <v>4</v>
      </c>
      <c r="AM5" s="82">
        <f>SUM(J5)</f>
        <v>0</v>
      </c>
      <c r="AN5" s="82">
        <f>AH5</f>
        <v>3</v>
      </c>
      <c r="AO5" s="82">
        <f>SUM(IF(AN6=AN5,N5,0),IF(AN7=AN5,R5,0),IF(AN8=AN5,V5,0),IF(AN9=AN5,Z5,0))</f>
        <v>1</v>
      </c>
      <c r="AP5" s="82">
        <f>AQ5-AR5</f>
        <v>0</v>
      </c>
      <c r="AQ5" s="82">
        <f>SUM(IF(AN6=AN5,K5,0),IF(AN7=AN5,O5,0),IF(AN8=AN5,S5,0),IF(AN9=AN5,W5,0))</f>
        <v>1</v>
      </c>
      <c r="AR5" s="82">
        <f>SUM(IF(AN6=AN5,M5,0),IF(AN7=AN5,Q5,0),IF(AN8=AN5,U5,0),IF(AN9=AN5,Y5,0))</f>
        <v>1</v>
      </c>
      <c r="AS5" s="82">
        <f>AI5</f>
        <v>-1</v>
      </c>
      <c r="AT5" s="82">
        <f>AE5</f>
        <v>2</v>
      </c>
      <c r="AU5" s="82">
        <f>IF(AG5&gt;0,AE5/AG5,IF(AND(AE5&gt;0,AG5=0),90,0))</f>
        <v>0.6666666666666666</v>
      </c>
      <c r="AV5" s="87">
        <f>IF(B3&gt;0,0,IF('[1]program'!E126=AM5,0.5,IF('[1]program'!E127=AM5,0.4,IF('[1]program'!E128=AM5,0.3,IF('[1]program'!E129=AM5,0.2,IF('[1]program'!E130=AM5,0.1,0))))))</f>
        <v>0.5</v>
      </c>
      <c r="AW5" s="82">
        <f>1000000000*AN5+100000000*AO5+1000000*AP5+10000*AQ5+100*AS5+AT5+AV5</f>
        <v>3100009902.5</v>
      </c>
      <c r="AX5" s="82">
        <f>10000*AN5+100*AS5+AU5</f>
        <v>29900.666666666668</v>
      </c>
      <c r="AY5" s="82">
        <f>RANK(AX5,AX5:AX9)</f>
        <v>5</v>
      </c>
      <c r="AZ5" s="85"/>
      <c r="BA5" s="82">
        <f>IF(AL5=1,AM5,"")</f>
      </c>
      <c r="BB5" s="82">
        <f>IF(AL5=2,AM5,"")</f>
      </c>
      <c r="BC5" s="82">
        <f>IF(AL5=3,AM5,"")</f>
      </c>
      <c r="BD5" s="82">
        <f>IF(AL5=4,AM5,"")</f>
        <v>0</v>
      </c>
      <c r="BE5" s="82">
        <f>IF(AL5=5,AM5,"")</f>
      </c>
      <c r="BF5" s="85"/>
      <c r="BG5" s="82" t="str">
        <f>IF(COUNTBLANK(BA5:BA9)=5,BH5,"1A")</f>
        <v>1A</v>
      </c>
      <c r="BH5" s="82">
        <f>IF(F2=0,IF(BI5=1,VLOOKUP(1,AL5:AM9,2,0),IF(BI5=2,"los2",IF(BI5=3,"los3",IF(BI5=4,"los4",IF(BI5=5,"los5","1A"))))),"1A")</f>
        <v>0</v>
      </c>
      <c r="BI5" s="82">
        <f>IF(F2=0,5-COUNTBLANK(BA5:BA9),0)</f>
        <v>1</v>
      </c>
      <c r="BJ5" s="82">
        <f>IF(BI5&gt;1,IF(BA5=AM5,AM5,IF(BA6=AM6,AM6,IF(BA7=AM7,AM7,IF(BA8=AM8,AM8,"")))),"")</f>
      </c>
      <c r="BK5" s="87">
        <f>IF(BI5&lt;2,"",IF(CHOOSE(MATCH(BJ5,BA5:BA10,0)+1,BA5,BA6,BA7,BA8,BA9,BA10)="",IF(CHOOSE(MATCH(BJ5,BA5:BA10,0)+2,BA5,BA6,BA7,BA8,BA9,BA10)="",IF(CHOOSE(MATCH(BJ5,BA5:BA10,0)+3,BA5,BA6,BA7,BA8,BA9,BA10)="",IF(CHOOSE(MATCH(BJ5,BA5:BA10,0)+4,BA5,BA6,BA7,BA8,BA9,BA10)="",CHOOSE(MATCH(BJ5,BA5:BA10,0)+5,BA5,BA6,BA7,BA8,BA9,BA10),CHOOSE(MATCH(BJ5,BA5:BA10,0)+4,BA5,BA6,BA7,BA8,BA9,BA10)),CHOOSE(MATCH(BJ5,BA5:BA10,0)+3,BA5,BA6,BA7,BA8,BA9,BA10)),CHOOSE(MATCH(BJ5,BA5:BA10,0)+2,BA5,BA6,BA7,BA8,BA9,BA10)),CHOOSE(MATCH(BJ5,BA5:BA10,0)+1,BA5,BA6,BA7,BA8,BA9,BA10)))</f>
      </c>
      <c r="BL5" s="87">
        <f>IF(BI5&lt;3,"",IF(CHOOSE(MATCH(BK5,BA5:BA10,0)+1,BA5,BA6,BA7,BA8,BA9,BA10)="",IF(CHOOSE(MATCH(BK5,BA5:BA10,0)+2,BA5,BA6,BA7,BA8,BA9,BA10)="",IF(CHOOSE(MATCH(BK5,BA5:BA10,0)+3,BA5,BA6,BA7,BA8,BA9,BA10)="",IF(CHOOSE(MATCH(BK5,BA5:BA10,0)+4,BA5,BA6,BA7,BA8,BA9,BA10)="",CHOOSE(MATCH(BK5,BA5:BA10,0)+5,BA5,BA6,BA7,BA8,BA9,BA10),CHOOSE(MATCH(BK5,BA5:BA10,0)+4,BA5,BA6,BA7,BA8,BA9,BA10)),CHOOSE(MATCH(BK5,BA5:BA10,0)+3,BA5,BA6,BA7,BA8,BA9,BA10)),CHOOSE(MATCH(BK5,BA5:BA10,0)+2,BA5,BA6,BA7,BA8,BA9,BA10)),CHOOSE(MATCH(BK5,BA5:BA10,0)+1,BA5,BA6,BA7,BA8,BA9,BA10)))</f>
      </c>
      <c r="BM5" s="87">
        <f>IF(BI5&lt;4,"",IF(CHOOSE(MATCH(BL5,BA5:BA10,0)+1,BA5,BA6,BA7,BA8,BA9,BA10)="",IF(CHOOSE(MATCH(BL5,BA5:BA10,0)+2,BA5,BA6,BA7,BA8,BA9,BA10)="",IF(CHOOSE(MATCH(BL5,BA5:BA10,0)+3,BA5,BA6,BA7,BA8,BA9,BA10)="",IF(CHOOSE(MATCH(BL5,BA5:BA10,0)+4,BA5,BA6,BA7,BA8,BA9,BA10)="",CHOOSE(MATCH(BL5,BA5:BA10,0)+5,BA5,BA6,BA7,BA8,BA9,BA10),CHOOSE(MATCH(BL5,BA5:BA10,0)+4,BA5,BA6,BA7,BA8,BA9,BA10)),CHOOSE(MATCH(BL5,BA5:BA10,0)+3,BA5,BA6,BA7,BA8,BA9,BA10)),CHOOSE(MATCH(BL5,BA5:BA10,0)+2,BA5,BA6,BA7,BA8,BA9,BA10)),CHOOSE(MATCH(BL5,BA5:BA10,0)+1,BA5,BA6,BA7,BA8,BA9,BA10)))</f>
      </c>
      <c r="BN5" s="87">
        <f>IF(BI5&lt;5,"",IF(CHOOSE(MATCH(BM5,BA5:BA10,0)+1,BA5,BA6,BA7,BA8,BA9,BA10)="",IF(CHOOSE(MATCH(BM5,BA5:BA10,0)+2,BA5,BA6,BA7,BA8,BA9,BA10)="",IF(CHOOSE(MATCH(BM5,BA5:BA10,0)+3,BA5,BA6,BA7,BA8,BA9,BA10)="",IF(CHOOSE(MATCH(BM5,BA5:BA10,0)+4,BA5,BA6,BA7,BA8,BA9,BA10)="",CHOOSE(MATCH(BM5,BA5:BA10,0)+5,BA5,BA6,BA7,BA8,BA9,BA10),CHOOSE(MATCH(BM5,BA5:BA10,0)+4,BA5,BA6,BA7,BA8,BA9,BA10)),CHOOSE(MATCH(BM5,BA5:BA10,0)+3,BA5,BA6,BA7,BA8,BA9,BA10)),CHOOSE(MATCH(BM5,BA5:BA10,0)+2,BA5,BA6,BA7,BA8,BA9,BA10)),CHOOSE(MATCH(BM5,BA5:BA10,0)+1,BA5,BA6,BA7,BA8,BA9,BA10)))</f>
      </c>
      <c r="BO5" s="85">
        <f>IF(BI5=6,AM10,"")</f>
      </c>
      <c r="BP5" s="87"/>
      <c r="BQ5" s="32"/>
      <c r="BR5" s="32"/>
      <c r="BS5" s="32"/>
      <c r="BT5" s="32"/>
    </row>
    <row r="6" spans="2:72" ht="19.5" customHeight="1">
      <c r="B6" s="106" t="str">
        <f>Týmy!$B$4</f>
        <v>Hyeny</v>
      </c>
      <c r="C6" s="108">
        <f>$W$5</f>
        <v>0</v>
      </c>
      <c r="D6" s="105" t="s">
        <v>1</v>
      </c>
      <c r="E6" s="108">
        <f>$Y$5</f>
        <v>1</v>
      </c>
      <c r="F6" s="108" t="str">
        <f>Týmy!$B$7</f>
        <v>Bílina</v>
      </c>
      <c r="G6" s="103">
        <f t="shared" si="0"/>
        <v>0</v>
      </c>
      <c r="H6" s="104">
        <f t="shared" si="1"/>
        <v>3</v>
      </c>
      <c r="J6" s="157" t="str">
        <f>Týmy!$B$5</f>
        <v>Gamblers </v>
      </c>
      <c r="K6" s="146">
        <f>$Q$5</f>
        <v>1</v>
      </c>
      <c r="L6" s="179" t="s">
        <v>1</v>
      </c>
      <c r="M6" s="147">
        <f>$O$5</f>
        <v>1</v>
      </c>
      <c r="N6" s="145">
        <f>IF(COUNTBLANK(K6:M6)=0,IF(K6&lt;M6,0,IF(K6=M6,1,3)),"")</f>
        <v>1</v>
      </c>
      <c r="O6" s="219" t="s">
        <v>19</v>
      </c>
      <c r="P6" s="220"/>
      <c r="Q6" s="221"/>
      <c r="R6" s="128"/>
      <c r="S6" s="144">
        <f>IF(ISBLANK(Výsledky!E5),"",Výsledky!E5)</f>
        <v>2</v>
      </c>
      <c r="T6" s="182" t="s">
        <v>1</v>
      </c>
      <c r="U6" s="81">
        <f>IF(ISBLANK(Výsledky!G5),"",Výsledky!G5)</f>
        <v>2</v>
      </c>
      <c r="V6" s="143">
        <f>IF(COUNTBLANK(S6:U6)=0,IF(S6&lt;U6,0,IF(S6=U6,1,3)),"")</f>
        <v>1</v>
      </c>
      <c r="W6" s="80">
        <f>IF(ISBLANK(Výsledky!E8),"",Výsledky!E8)</f>
        <v>4</v>
      </c>
      <c r="X6" s="182" t="s">
        <v>1</v>
      </c>
      <c r="Y6" s="81">
        <f>IF(ISBLANK(Výsledky!G8),"",Výsledky!G8)</f>
        <v>1</v>
      </c>
      <c r="Z6" s="90">
        <f>IF(COUNTBLANK(W6:Y6)=0,IF(W6&lt;Y6,0,IF(W6=Y6,1,3)),"")</f>
        <v>3</v>
      </c>
      <c r="AA6" s="80">
        <f>IF(ISBLANK(Výsledky!E11),"",Výsledky!E11)</f>
        <v>2</v>
      </c>
      <c r="AB6" s="182" t="s">
        <v>1</v>
      </c>
      <c r="AC6" s="81">
        <f>IF(ISBLANK(Výsledky!G11),"",Výsledky!G11)</f>
        <v>1</v>
      </c>
      <c r="AD6" s="90">
        <f>IF(COUNTBLANK(AA6:AC6)=0,IF(AA6&lt;AC6,0,IF(AA6=AC6,1,3)),"")</f>
        <v>3</v>
      </c>
      <c r="AE6" s="71">
        <f>SUM(K6,S6,W6,AA6)</f>
        <v>9</v>
      </c>
      <c r="AF6" s="72" t="s">
        <v>1</v>
      </c>
      <c r="AG6" s="73">
        <f>SUM(M6,U6,Y6,AC6)</f>
        <v>5</v>
      </c>
      <c r="AH6" s="74">
        <f>SUM(G10+G8+G9+H4)</f>
        <v>8</v>
      </c>
      <c r="AI6" s="71">
        <f>SUM(AE6-AG6)</f>
        <v>4</v>
      </c>
      <c r="AJ6" s="89">
        <f>IF((F2=20),"",AL6)</f>
        <v>1</v>
      </c>
      <c r="AK6" s="32"/>
      <c r="AL6" s="83">
        <f>RANK(AW6,AW5:AW9)</f>
        <v>1</v>
      </c>
      <c r="AM6" s="82">
        <f>SUM(J6)</f>
        <v>0</v>
      </c>
      <c r="AN6" s="82">
        <f>AH6</f>
        <v>8</v>
      </c>
      <c r="AO6" s="82">
        <f>SUM(IF(AN5=AN6,J6,0),IF(AN7=AN6,R6,0),IF(AN8=AN6,V6,0),IF(AN9=AN6,Z6,0))</f>
        <v>0</v>
      </c>
      <c r="AP6" s="82">
        <f>AQ6-AR6</f>
        <v>0</v>
      </c>
      <c r="AQ6" s="82">
        <f>SUM(IF(AN5=AN6,G6,0),IF(AN7=AN6,O6,0),IF(AN8=AN6,S6,0),IF(AN9=AN6,W6,0))</f>
        <v>0</v>
      </c>
      <c r="AR6" s="82">
        <f>SUM(IF(AN5=AN6,I6,0),IF(AN7=AN6,Q6,0),IF(AN8=AN6,U6,0),IF(AN9=AN6,Y6,0))</f>
        <v>0</v>
      </c>
      <c r="AS6" s="82">
        <f>AI6</f>
        <v>4</v>
      </c>
      <c r="AT6" s="82">
        <f>AE6</f>
        <v>9</v>
      </c>
      <c r="AU6" s="82">
        <f>IF(AG6&gt;0,AE6/AG6,IF(AND(AE6&gt;0,AG6=0),90,0))</f>
        <v>1.8</v>
      </c>
      <c r="AV6" s="87">
        <f>IF(B3&gt;0,0,IF('[1]program'!E126=AM6,0.5,IF('[1]program'!E127=AM6,0.4,IF('[1]program'!E128=AM6,0.3,IF('[1]program'!E129=AM6,0.2,IF('[1]program'!E130=AM6,0.1,0))))))</f>
        <v>0.5</v>
      </c>
      <c r="AW6" s="82">
        <f>1000000000*AN6+100000000*AO6+1000000*AP6+10000*AQ6+100*AS6+AT6+AV6</f>
        <v>8000000409.5</v>
      </c>
      <c r="AX6" s="82">
        <f>10000*AN6+100*AS6+AU6</f>
        <v>80401.8</v>
      </c>
      <c r="AY6" s="82">
        <f>RANK(AX6,AX5:AX9)</f>
        <v>1</v>
      </c>
      <c r="AZ6" s="85"/>
      <c r="BA6" s="82">
        <f>IF(AL6=1,AM6,"")</f>
        <v>0</v>
      </c>
      <c r="BB6" s="82">
        <f>IF(AL6=2,AM6,"")</f>
      </c>
      <c r="BC6" s="82">
        <f>IF(AL6=3,AM6,"")</f>
      </c>
      <c r="BD6" s="82">
        <f>IF(AL6=4,AM6,"")</f>
      </c>
      <c r="BE6" s="82">
        <f>IF(AL6=5,AM6,"")</f>
      </c>
      <c r="BF6" s="85"/>
      <c r="BG6" s="82" t="str">
        <f>IF(COUNTBLANK(BB5:BB9)=5,BH6,"2A")</f>
        <v>2A</v>
      </c>
      <c r="BH6" s="82">
        <f>IF(F2=0,IF(BI6=1,VLOOKUP(2,AL5:AM9,2,0),IF(BI6=2,"los2",IF(BI6=3,"los3",IF(BI6=4,"los4","2A")))),"2A")</f>
        <v>0</v>
      </c>
      <c r="BI6" s="82">
        <f>IF(F2=0,5-COUNTBLANK(BB5:BB9),0)</f>
        <v>1</v>
      </c>
      <c r="BJ6" s="82">
        <f>IF(BI6&gt;1,IF(BB5=AM5,AM5,IF(BB6=AM6,AM6,IF(BB7=AM7,AM7,IF(BB8=AM8,AM8,"")))),"")</f>
      </c>
      <c r="BK6" s="87">
        <f>IF(BI6&lt;2,"",IF(CHOOSE(MATCH(BJ6,BB5:BB10,0)+1,BB5,BB6,BB7,BB8,BB9,BB10)="",IF(CHOOSE(MATCH(BJ6,BB5:BB10,0)+2,BB5,BB6,BB7,BB8,BB9,BB10)="",IF(CHOOSE(MATCH(BJ6,BB5:BB10,0)+3,BB5,BB6,BB7,BB8,BB9,BB10)="",IF(CHOOSE(MATCH(BJ6,BB5:BB10,0)+4,BB5,BB6,BB7,BB8,BB9,BB10)="",CHOOSE(MATCH(BJ6,BB5:BB10,0)+5,BB5,BB6,BB7,BB8,BB9,BB10),CHOOSE(MATCH(BJ6,BB5:BB10,0)+4,BB5,BB6,BB7,BB8,BB9,BB10)),CHOOSE(MATCH(BJ6,BB5:BB10,0)+3,BB5,BB6,BB7,BB8,BB9,BB10)),CHOOSE(MATCH(BJ6,BB5:BB10,0)+2,BB5,BB6,BB7,BB8,BB9,BB10)),CHOOSE(MATCH(BJ6,BB5:BB10,0)+1,BB5,BB6,BB7,BB8,BB9,BB10)))</f>
      </c>
      <c r="BL6" s="87">
        <f>IF(BI6&lt;3,"",IF(CHOOSE(MATCH(BK6,BB5:BB10,0)+1,BB5,BB6,BB7,BB8,BB9,BB10)="",IF(CHOOSE(MATCH(BK6,BB5:BB10,0)+2,BB5,BB6,BB7,BB8,BB9,BB10)="",IF(CHOOSE(MATCH(BK6,BB5:BB10,0)+3,BB5,BB6,BB7,BB8,BB9,BB10)="",IF(CHOOSE(MATCH(BK6,BB5:BB10,0)+4,BB5,BB6,BB7,BB8,BB9,BB10)="",CHOOSE(MATCH(BK6,BB5:BB10,0)+5,BB5,BB6,BB7,BB8,BB9,BB10),CHOOSE(MATCH(BK6,BB5:BB10,0)+4,BB5,BB6,BB7,BB8,BB9,BB10)),CHOOSE(MATCH(BK6,BB5:BB10,0)+3,BB5,BB6,BB7,BB8,BB9,BB10)),CHOOSE(MATCH(BK6,BB5:BB10,0)+2,BB5,BB6,BB7,BB8,BB9,BB10)),CHOOSE(MATCH(BK6,BB5:BB10,0)+1,BB5,BB6,BB7,BB8,BB9,BB10)))</f>
      </c>
      <c r="BM6" s="87">
        <f>IF(BI6&lt;4,"",IF(CHOOSE(MATCH(BL6,BB5:BB10,0)+1,BB5,BB6,BB7,BB8,BB9,BB10)="",IF(CHOOSE(MATCH(BL6,BB5:BB10,0)+2,BB5,BB6,BB7,BB8,BB9,BB10)="",IF(CHOOSE(MATCH(BL6,BB5:BB10,0)+3,BB5,BB6,BB7,BB8,BB9,BB10)="",IF(CHOOSE(MATCH(BL6,BB5:BB10,0)+4,BB5,BB6,BB7,BB8,BB9,BB10)="",CHOOSE(MATCH(BL6,BB5:BB10,0)+5,BB5,BB6,BB7,BB8,BB9,BB10),CHOOSE(MATCH(BL6,BB5:BB10,0)+4,BB5,BB6,BB7,BB8,BB9,BB10)),CHOOSE(MATCH(BL6,BB5:BB10,0)+3,BB5,BB6,BB7,BB8,BB9,BB10)),CHOOSE(MATCH(BL6,BB5:BB10,0)+2,BB5,BB6,BB7,BB8,BB9,BB10)),CHOOSE(MATCH(BL6,BB5:BB10,0)+1,BB5,BB6,BB7,BB8,BB9,BB10)))</f>
      </c>
      <c r="BN6" s="87">
        <f>IF(BI6&lt;5,"",IF(CHOOSE(MATCH(BM6,BB5:BB10,0)+1,BB5,BB6,BB7,BB8,BB9,BB10)="",IF(CHOOSE(MATCH(BM6,BB5:BB10,0)+2,BB5,BB6,BB7,BB8,BB9,BB10)="",IF(CHOOSE(MATCH(BM6,BB5:BB10,0)+3,BB5,BB6,BB7,BB8,BB9,BB10)="",IF(CHOOSE(MATCH(BM6,BB5:BB10,0)+4,BB5,BB6,BB7,BB8,BB9,BB10)="",CHOOSE(MATCH(BM6,BB5:BB10,0)+5,BB5,BB6,BB7,BB8,BB9,BB10),CHOOSE(MATCH(BM6,BB5:BB10,0)+4,BB5,BB6,BB7,BB8,BB9,BB10)),CHOOSE(MATCH(BM6,BB5:BB10,0)+3,BB5,BB6,BB7,BB8,BB9,BB10)),CHOOSE(MATCH(BM6,BB5:BB10,0)+2,BB5,BB6,BB7,BB8,BB9,BB10)),CHOOSE(MATCH(BM6,BB5:BB10,0)+1,BB5,BB6,BB7,BB8,BB9,BB10)))</f>
      </c>
      <c r="BO6" s="85"/>
      <c r="BP6" s="87"/>
      <c r="BQ6" s="32"/>
      <c r="BR6" s="32"/>
      <c r="BS6" s="32"/>
      <c r="BT6" s="32"/>
    </row>
    <row r="7" spans="2:72" ht="19.5" customHeight="1">
      <c r="B7" s="106" t="str">
        <f>Týmy!$B$4</f>
        <v>Hyeny</v>
      </c>
      <c r="C7" s="108">
        <f>$AA$5</f>
        <v>1</v>
      </c>
      <c r="D7" s="105" t="s">
        <v>1</v>
      </c>
      <c r="E7" s="108">
        <f>$AC$5</f>
        <v>1</v>
      </c>
      <c r="F7" s="108" t="str">
        <f>Týmy!$B$8</f>
        <v>FC Cutnik t.</v>
      </c>
      <c r="G7" s="103">
        <f t="shared" si="0"/>
        <v>1</v>
      </c>
      <c r="H7" s="104">
        <f t="shared" si="1"/>
        <v>1</v>
      </c>
      <c r="J7" s="158" t="str">
        <f>Týmy!$B$6</f>
        <v>Výb. CV a MO</v>
      </c>
      <c r="K7" s="78">
        <f>$U$5</f>
        <v>0</v>
      </c>
      <c r="L7" s="180" t="s">
        <v>1</v>
      </c>
      <c r="M7" s="79">
        <f>$S$5</f>
        <v>0</v>
      </c>
      <c r="N7" s="90">
        <f>IF(COUNTBLANK(K7:M7)=0,IF(K7&lt;M7,0,IF(K7=M7,1,3)),"")</f>
        <v>1</v>
      </c>
      <c r="O7" s="146">
        <f>$U$6</f>
        <v>2</v>
      </c>
      <c r="P7" s="179" t="s">
        <v>1</v>
      </c>
      <c r="Q7" s="147">
        <f>$S$6</f>
        <v>2</v>
      </c>
      <c r="R7" s="145">
        <f>IF(COUNTBLANK(O7:Q7)=0,IF(O7&lt;Q7,0,IF(O7=Q7,1,3)),"")</f>
        <v>1</v>
      </c>
      <c r="S7" s="219" t="s">
        <v>19</v>
      </c>
      <c r="T7" s="220"/>
      <c r="U7" s="221"/>
      <c r="V7" s="128"/>
      <c r="W7" s="144">
        <f>IF(ISBLANK(Výsledky!E3),"",Výsledky!E3)</f>
        <v>1</v>
      </c>
      <c r="X7" s="182" t="s">
        <v>1</v>
      </c>
      <c r="Y7" s="81">
        <f>IF(ISBLANK(Výsledky!G3),"",Výsledky!G3)</f>
        <v>1</v>
      </c>
      <c r="Z7" s="143">
        <f>IF(COUNTBLANK(W7:Y7)=0,IF(W7&lt;Y7,0,IF(W7=Y7,1,3)),"")</f>
        <v>1</v>
      </c>
      <c r="AA7" s="80">
        <f>IF(ISBLANK(Výsledky!E9),"",Výsledky!E9)</f>
        <v>0</v>
      </c>
      <c r="AB7" s="182" t="s">
        <v>1</v>
      </c>
      <c r="AC7" s="81">
        <f>IF(ISBLANK(Výsledky!G9),"",Výsledky!G9)</f>
        <v>1</v>
      </c>
      <c r="AD7" s="90">
        <f>IF(COUNTBLANK(AA7:AC7)=0,IF(AA7&lt;AC7,0,IF(AA7=AC7,1,3)),"")</f>
        <v>0</v>
      </c>
      <c r="AE7" s="71">
        <f>SUM(K7,O7,W7,AA7)</f>
        <v>3</v>
      </c>
      <c r="AF7" s="72" t="s">
        <v>1</v>
      </c>
      <c r="AG7" s="73">
        <f>SUM(M7,Q7,Y7,AC7)</f>
        <v>4</v>
      </c>
      <c r="AH7" s="74">
        <f>SUM(G11+G12+H5+H8)</f>
        <v>3</v>
      </c>
      <c r="AI7" s="71">
        <f>SUM(AE7-AG7)</f>
        <v>-1</v>
      </c>
      <c r="AJ7" s="89">
        <f>IF((F2=20),"",AL7)</f>
        <v>5</v>
      </c>
      <c r="AK7" s="32"/>
      <c r="AL7" s="83">
        <f>RANK(AW7,AW5:AW9)</f>
        <v>5</v>
      </c>
      <c r="AM7" s="82">
        <f>SUM(J7)</f>
        <v>0</v>
      </c>
      <c r="AN7" s="82">
        <f>AH7</f>
        <v>3</v>
      </c>
      <c r="AO7" s="82">
        <f>SUM(IF(AN5=AN7,J7,0),IF(AN6=AN7,N7,0),IF(AN8=AN7,V7,0),IF(AN9=AN7,Z7,0))</f>
        <v>0</v>
      </c>
      <c r="AP7" s="82">
        <f>AQ7-AR7</f>
        <v>1</v>
      </c>
      <c r="AQ7" s="82">
        <f>SUM(IF(AN5=AN7,G7,0),IF(AN6=AN7,K7,0),IF(AN8=AN7,S7,0),IF(AN9=AN7,W7,0))</f>
        <v>1</v>
      </c>
      <c r="AR7" s="82">
        <f>SUM(IF(AN5=AN7,I7,0),IF(AN6=AN7,M7,0),IF(AN8=AN7,U7,0),IF(AN9=AN7,Y7,0))</f>
        <v>0</v>
      </c>
      <c r="AS7" s="82">
        <f>AI7</f>
        <v>-1</v>
      </c>
      <c r="AT7" s="82">
        <f>AE7</f>
        <v>3</v>
      </c>
      <c r="AU7" s="82">
        <f>IF(AG7&gt;0,AE7/AG7,IF(AND(AE7&gt;0,AG7=0),90,0))</f>
        <v>0.75</v>
      </c>
      <c r="AV7" s="87">
        <f>IF(B3&gt;0,0,IF('[1]program'!E126=AM7,0.5,IF('[1]program'!E127=AM7,0.4,IF('[1]program'!E128=AM7,0.3,IF('[1]program'!E129=AM7,0.2,IF('[1]program'!E130=AM7,0.1,0))))))</f>
        <v>0.5</v>
      </c>
      <c r="AW7" s="82">
        <f>1000000000*AN7+100000000*AO7+1000000*AP7+10000*AQ7+100*AS7+AT7+AV7</f>
        <v>3001009903.5</v>
      </c>
      <c r="AX7" s="82">
        <f>10000*AN7+100*AS7+AU7</f>
        <v>29900.75</v>
      </c>
      <c r="AY7" s="82">
        <f>RANK(AX7,AX5:AX9)</f>
        <v>4</v>
      </c>
      <c r="AZ7" s="85"/>
      <c r="BA7" s="82">
        <f>IF(AL7=1,AM7,"")</f>
      </c>
      <c r="BB7" s="82">
        <f>IF(AL7=2,AM7,"")</f>
      </c>
      <c r="BC7" s="82">
        <f>IF(AL7=3,AM7,"")</f>
      </c>
      <c r="BD7" s="82">
        <f>IF(AL7=4,AM7,"")</f>
      </c>
      <c r="BE7" s="82">
        <f>IF(AL7=5,AM7,"")</f>
        <v>0</v>
      </c>
      <c r="BF7" s="85"/>
      <c r="BG7" s="82" t="str">
        <f>IF(COUNTBLANK(BB5:BB9)=5,BH7,"3A")</f>
        <v>3A</v>
      </c>
      <c r="BH7" s="82">
        <f>IF(F2=0,IF(BI7=1,VLOOKUP(3,AL5:AM9,2,0),IF(BI7=2,"los2",IF(BI7=3,"los3","3A"))),"3A")</f>
        <v>0</v>
      </c>
      <c r="BI7" s="82">
        <f>IF(F2=0,5-COUNTBLANK(BC5:BC9),0)</f>
        <v>1</v>
      </c>
      <c r="BJ7" s="82">
        <f>IF(BI7&gt;1,IF(BC5=AM5,AM5,IF(BC6=AM6,AM6,IF(BC7=AM7,AM7,IF(BC8=AM8,AM8,"")))),"")</f>
      </c>
      <c r="BK7" s="87">
        <f>IF(BI7&lt;2,"",IF(CHOOSE(MATCH(BJ7,BC5:BC10,0)+1,BC5,BC6,BC7,BC8,BC9,BC10)="",IF(CHOOSE(MATCH(BJ7,BC5:BC10,0)+2,BC5,BC6,BC7,BC8,BC9,BC10)="",IF(CHOOSE(MATCH(BJ7,BC5:BC10,0)+3,BC5,BC6,BC7,BC8,BC9,BC10)="",IF(CHOOSE(MATCH(BJ7,BC5:BC10,0)+4,BC5,BC6,BC7,BC8,BC9,BC10)="",CHOOSE(MATCH(BJ7,BC5:BC10,0)+5,BC5,BC6,BC7,BC8,BC9,BC10),CHOOSE(MATCH(BJ7,BC5:BC10,0)+4,BC5,BC6,BC7,BC8,BC9,BC10)),CHOOSE(MATCH(BJ7,BC5:BC10,0)+3,BC5,BC6,BC7,BC8,BC9,BC10)),CHOOSE(MATCH(BJ7,BC5:BC10,0)+2,BC5,BC6,BC7,BC8,BC9,BC10)),CHOOSE(MATCH(BJ7,BC5:BC10,0)+1,BC5,BC6,BC7,BC8,BC9,BC10)))</f>
      </c>
      <c r="BL7" s="87">
        <f>IF(BI7&lt;3,"",IF(CHOOSE(MATCH(BK7,BC5:BC10,0)+1,BC5,BC6,BC7,BC8,BC9,BC10)="",IF(CHOOSE(MATCH(BK7,BC5:BC97,0)+2,BC5,BC6,BC7,BC8,BC9,BC10)="",IF(CHOOSE(MATCH(BK7,BC5:BC10,0)+3,BC5,BC6,BC7,BC8,BC9,BC10)="",IF(CHOOSE(MATCH(BK7,BC5:BC10,0)+4,BC5,BC6,BC7,BC8,BC9,BC10)="",CHOOSE(MATCH(BK7,BC5:BC10,0)+5,BC5,BC6,BC7,BC8,BC9,BC10),CHOOSE(MATCH(BK7,BC5:BC10,0)+4,BC5,BC6,BC7,BC8,BC9,BC10)),CHOOSE(MATCH(BK7,BC5:BC10,0)+3,BC5,BC6,BC7,BC8,BC9,BC10)),CHOOSE(MATCH(BK7,BC5:BC10,0)+2,BC5,BC6,BC7,BC8,BC9,BC10)),CHOOSE(MATCH(BK7,BC5:BC10,0)+1,BC5,BC6,BC7,BC8,BC9,BC10)))</f>
      </c>
      <c r="BM7" s="87">
        <f>IF(BI7&lt;4,"",IF(CHOOSE(MATCH(BL7,BC5:BC10,0)+1,BC5,BC6,BC7,BC8,BC9,BC10)="",IF(CHOOSE(MATCH(BL7,BC5:BC97,0)+2,BC5,BC6,BC7,BC8,BC9,BC10)="",IF(CHOOSE(MATCH(BL7,BC5:BC10,0)+3,BC5,BC6,BC7,BC8,BC9,BC10)="",IF(CHOOSE(MATCH(BL7,BC5:BC10,0)+4,BC5,BC6,BC7,BC8,BC9,BC10)="",CHOOSE(MATCH(BL7,BC5:BC10,0)+5,BC5,BC6,BC7,BC8,BC9,BC10),CHOOSE(MATCH(BL7,BC5:BC10,0)+4,BC5,BC6,BC7,BC8,BC9,BC10)),CHOOSE(MATCH(BL7,BC5:BC10,0)+3,BC5,BC6,BC7,BC8,BC9,BC10)),CHOOSE(MATCH(BL7,BC5:BC10,0)+2,BC5,BC6,BC7,BC8,BC9,BC10)),CHOOSE(MATCH(BL7,BC5:BC10,0)+1,BC5,BC6,BC7,BC8,BC9,BC10)))</f>
      </c>
      <c r="BN7" s="87"/>
      <c r="BO7" s="85"/>
      <c r="BP7" s="87"/>
      <c r="BQ7" s="32"/>
      <c r="BR7" s="32"/>
      <c r="BS7" s="32"/>
      <c r="BT7" s="32"/>
    </row>
    <row r="8" spans="2:72" ht="19.5" customHeight="1">
      <c r="B8" s="106" t="str">
        <f>Týmy!$B$5</f>
        <v>Gamblers </v>
      </c>
      <c r="C8" s="108">
        <f>$S$6</f>
        <v>2</v>
      </c>
      <c r="D8" s="105" t="s">
        <v>1</v>
      </c>
      <c r="E8" s="108">
        <f>$U$6</f>
        <v>2</v>
      </c>
      <c r="F8" s="108" t="str">
        <f>Týmy!$B$6</f>
        <v>Výb. CV a MO</v>
      </c>
      <c r="G8" s="103">
        <f t="shared" si="0"/>
        <v>1</v>
      </c>
      <c r="H8" s="104">
        <f t="shared" si="1"/>
        <v>1</v>
      </c>
      <c r="J8" s="158" t="str">
        <f>Týmy!$B$7</f>
        <v>Bílina</v>
      </c>
      <c r="K8" s="78">
        <f>$Y$5</f>
        <v>1</v>
      </c>
      <c r="L8" s="180" t="s">
        <v>1</v>
      </c>
      <c r="M8" s="79">
        <f>$W$5</f>
        <v>0</v>
      </c>
      <c r="N8" s="90">
        <f>IF(COUNTBLANK(K8:M8)=0,IF(K8&lt;M8,0,IF(K8=M8,1,3)),"")</f>
        <v>3</v>
      </c>
      <c r="O8" s="78">
        <f>$Y$6</f>
        <v>1</v>
      </c>
      <c r="P8" s="180" t="s">
        <v>1</v>
      </c>
      <c r="Q8" s="79">
        <f>$W$6</f>
        <v>4</v>
      </c>
      <c r="R8" s="90">
        <f>IF(COUNTBLANK(O8:Q8)=0,IF(O8&lt;Q8,0,IF(O8=Q8,1,3)),"")</f>
        <v>0</v>
      </c>
      <c r="S8" s="146">
        <f>$Y$7</f>
        <v>1</v>
      </c>
      <c r="T8" s="179" t="s">
        <v>1</v>
      </c>
      <c r="U8" s="147">
        <f>$W$7</f>
        <v>1</v>
      </c>
      <c r="V8" s="145">
        <f>IF(COUNTBLANK(S8:U8)=0,IF(S8&lt;U8,0,IF(S8=U8,1,3)),"")</f>
        <v>1</v>
      </c>
      <c r="W8" s="219" t="s">
        <v>19</v>
      </c>
      <c r="X8" s="220"/>
      <c r="Y8" s="221"/>
      <c r="Z8" s="128"/>
      <c r="AA8" s="144">
        <f>IF(ISBLANK(Výsledky!E6),"",Výsledky!E6)</f>
        <v>1</v>
      </c>
      <c r="AB8" s="182" t="s">
        <v>1</v>
      </c>
      <c r="AC8" s="81">
        <f>IF(ISBLANK(Výsledky!G6),"",Výsledky!G6)</f>
        <v>0</v>
      </c>
      <c r="AD8" s="143">
        <f>IF(COUNTBLANK(AA8:AC8)=0,IF(AA8&lt;AC8,0,IF(AA8=AC8,1,3)),"")</f>
        <v>3</v>
      </c>
      <c r="AE8" s="71">
        <f>SUM(K8,O8,S8,AA8)</f>
        <v>4</v>
      </c>
      <c r="AF8" s="72" t="s">
        <v>1</v>
      </c>
      <c r="AG8" s="73">
        <f>SUM(M8,Q8,U8,AC8)</f>
        <v>5</v>
      </c>
      <c r="AH8" s="74">
        <f>SUM(G13+H6+H9+H10)</f>
        <v>6</v>
      </c>
      <c r="AI8" s="71">
        <f>SUM(AE8-AG8)</f>
        <v>-1</v>
      </c>
      <c r="AJ8" s="89">
        <f>IF((F2=20),"",AL8)</f>
        <v>2</v>
      </c>
      <c r="AK8" s="32"/>
      <c r="AL8" s="83">
        <f>RANK(AW8,AW5:AW9)</f>
        <v>2</v>
      </c>
      <c r="AM8" s="82">
        <f>SUM(J8)</f>
        <v>0</v>
      </c>
      <c r="AN8" s="82">
        <f>AH8</f>
        <v>6</v>
      </c>
      <c r="AO8" s="82">
        <f>SUM(IF(AN5=AN8,J8,0),IF(AN6=AN8,N8,0),IF(AN7=AN8,R8,0),IF(AN9=AN8,Z8,0))</f>
        <v>0</v>
      </c>
      <c r="AP8" s="82">
        <f>AQ8-AR8</f>
        <v>0</v>
      </c>
      <c r="AQ8" s="82">
        <f>SUM(IF(AN5=AN8,G8,0),IF(AN6=AN8,K8,0),IF(AN7=AN8,O8,0),IF(AN9=AN8,W8,0))</f>
        <v>0</v>
      </c>
      <c r="AR8" s="82">
        <f>SUM(IF(AN5=AN8,I8,0),IF(AN6=AN8,M8,0),IF(AN7=AN8,Q8,0),IF(AN9=AN8,Y8,0))</f>
        <v>0</v>
      </c>
      <c r="AS8" s="82">
        <f>AI8</f>
        <v>-1</v>
      </c>
      <c r="AT8" s="82">
        <f>AE8</f>
        <v>4</v>
      </c>
      <c r="AU8" s="82">
        <f>IF(AG8&gt;0,AE8/AG8,IF(AND(AE8&gt;0,AG8=0),90,0))</f>
        <v>0.8</v>
      </c>
      <c r="AV8" s="87">
        <f>IF(B3&gt;0,0,IF('[1]program'!E126=AM8,0.5,IF('[1]program'!E127=AM8,0.4,IF('[1]program'!E128=AM8,0.3,IF('[1]program'!E129=AM8,0.2,IF('[1]program'!E130=AM8,0.1,0))))))</f>
        <v>0.5</v>
      </c>
      <c r="AW8" s="82">
        <f>1000000000*AN8+100000000*AO8+1000000*AP8+10000*AQ8+100*AS8+AT8+AV8</f>
        <v>5999999904.5</v>
      </c>
      <c r="AX8" s="82">
        <f>10000*AN8+100*AS8+AU8</f>
        <v>59900.8</v>
      </c>
      <c r="AY8" s="82">
        <f>RANK(AX8,AX5:AX9)</f>
        <v>2</v>
      </c>
      <c r="AZ8" s="85"/>
      <c r="BA8" s="82">
        <f>IF(AL8=1,AM8,"")</f>
      </c>
      <c r="BB8" s="82">
        <f>IF(AL8=2,AM8,"")</f>
        <v>0</v>
      </c>
      <c r="BC8" s="82">
        <f>IF(AL8=3,AM8,"")</f>
      </c>
      <c r="BD8" s="82">
        <f>IF(AL8=4,AM8,"")</f>
      </c>
      <c r="BE8" s="82">
        <f>IF(AL8=5,AM8,"")</f>
      </c>
      <c r="BF8" s="85"/>
      <c r="BG8" s="82" t="str">
        <f>IF(COUNTBLANK(BD5:BD9)=5,BH8,"4A")</f>
        <v>4A</v>
      </c>
      <c r="BH8" s="82">
        <f>IF(F2=0,IF(BI8=1,VLOOKUP(4,AL5:AM9,2,0),IF(BI8=2,"los2","4A")),"4A")</f>
        <v>0</v>
      </c>
      <c r="BI8" s="82">
        <f>IF(F2=0,5-COUNTBLANK(BD5:BD9),0)</f>
        <v>1</v>
      </c>
      <c r="BJ8" s="82">
        <f>IF(BI8&gt;1,IF(BD5=AM5,AM5,IF(BD6=AM6,AM6,IF(BD7=AM7,AM7,IF(BD8=AM8,AM8,"")))),"")</f>
      </c>
      <c r="BK8" s="87">
        <f>IF(BI8&lt;2,"",IF(CHOOSE(MATCH(BJ8,BD5:BD10,0)+1,BD5,BD6,BD7,BD8,BD9,BD10)="",IF(CHOOSE(MATCH(BJ8,BD5:BD10,0)+2,BD5,BD6,BD7,BD8,BD9,BD10)="",IF(CHOOSE(MATCH(BJ8,BD5:BD10,0)+3,BD5,BD6,BD7,BD8,BD9,BD10)="",IF(CHOOSE(MATCH(BJ8,BD5:BD10,0)+4,BD5,BD6,BD7,BD8,BD9,BD10)="",CHOOSE(MATCH(BJ8,BD5:BD10,0)+5,BD5,BD6,BD7,BD8,BD9,BD10),CHOOSE(MATCH(BJ8,BD5:BD10,0)+4,BD5,BD6,BD7,BD8,BD9,BD10)),CHOOSE(MATCH(BJ8,BD5:BD10,0)+3,BD5,BD6,BD7,BD8,BD9,BD10)),CHOOSE(MATCH(BJ8,BD5:BD10,0)+2,BD5,BD6,BD7,BD8,BD9,BD10)),CHOOSE(MATCH(BJ8,BD5:BD10,0)+1,BD5,BD6,BD7,BD8,BD9,BD10)))</f>
      </c>
      <c r="BL8" s="87">
        <f>IF(BI8&lt;3,"",IF(CHOOSE(MATCH(BK8,BD5:BD10,0)+1,BD5,BD6,BD7,BD8,BD9,BD10)="",IF(CHOOSE(MATCH(BK8,BD5:BD10,0)+2,BD5,BD6,BD7,BD8,BD9,BD10)="",IF(CHOOSE(MATCH(BK8,BD5:BD10,0)+3,BD5,BD6,BD7,BD8,BD9,BD10)="",IF(CHOOSE(MATCH(BK8,BD5:BD10,0)+4,BD5,BD6,BD7,BD8,BD9,BD10)="",CHOOSE(MATCH(BK8,BD5:BD10,0)+5,BD5,BD6,BD7,BD8,BD9,BD10),CHOOSE(MATCH(BK8,BD5:BD10,0)+4,BD5,BD6,BD7,BD8,BD9,BD10)),CHOOSE(MATCH(BK8,BD5:BD10,0)+3,BD5,BD6,BD7,BD8,BD9,BD10)),CHOOSE(MATCH(BK8,BD5:BD10,0)+2,BD5,BD6,BD7,BD8,BD9,BD10)),CHOOSE(MATCH(BK8,BD5:BD10,0)+1,BD5,BD6,BD7,BD8,BD9,BD10)))</f>
      </c>
      <c r="BM8" s="87"/>
      <c r="BN8" s="87"/>
      <c r="BO8" s="85"/>
      <c r="BP8" s="87"/>
      <c r="BQ8" s="32"/>
      <c r="BR8" s="32"/>
      <c r="BS8" s="32"/>
      <c r="BT8" s="32"/>
    </row>
    <row r="9" spans="2:72" ht="19.5" customHeight="1" thickBot="1">
      <c r="B9" s="106" t="str">
        <f>Týmy!$B$5</f>
        <v>Gamblers </v>
      </c>
      <c r="C9" s="108">
        <f>$W$6</f>
        <v>4</v>
      </c>
      <c r="D9" s="105" t="s">
        <v>1</v>
      </c>
      <c r="E9" s="108">
        <f>$Y$6</f>
        <v>1</v>
      </c>
      <c r="F9" s="108" t="str">
        <f>Týmy!$B$7</f>
        <v>Bílina</v>
      </c>
      <c r="G9" s="103">
        <f t="shared" si="0"/>
        <v>3</v>
      </c>
      <c r="H9" s="104">
        <f t="shared" si="1"/>
        <v>0</v>
      </c>
      <c r="J9" s="160" t="str">
        <f>Týmy!$B$8</f>
        <v>FC Cutnik t.</v>
      </c>
      <c r="K9" s="174">
        <f>$AC$5</f>
        <v>1</v>
      </c>
      <c r="L9" s="181" t="s">
        <v>1</v>
      </c>
      <c r="M9" s="175">
        <f>$AA$5</f>
        <v>1</v>
      </c>
      <c r="N9" s="168">
        <f>IF(COUNTBLANK(K9:M9)=0,IF(K9&lt;M9,0,IF(K9=M9,1,3)),"")</f>
        <v>1</v>
      </c>
      <c r="O9" s="174">
        <f>$AC$6</f>
        <v>1</v>
      </c>
      <c r="P9" s="181" t="s">
        <v>1</v>
      </c>
      <c r="Q9" s="175">
        <f>$AA$6</f>
        <v>2</v>
      </c>
      <c r="R9" s="168">
        <f>IF(COUNTBLANK(O9:Q9)=0,IF(O9&lt;Q9,0,IF(O9=Q9,1,3)),"")</f>
        <v>0</v>
      </c>
      <c r="S9" s="174">
        <f>$AC$7</f>
        <v>1</v>
      </c>
      <c r="T9" s="181" t="s">
        <v>1</v>
      </c>
      <c r="U9" s="175">
        <f>$AA$7</f>
        <v>0</v>
      </c>
      <c r="V9" s="168">
        <f>IF(COUNTBLANK(S9:U9)=0,IF(S9&lt;U9,0,IF(S9=U9,1,3)),"")</f>
        <v>3</v>
      </c>
      <c r="W9" s="176">
        <f>$AC$8</f>
        <v>0</v>
      </c>
      <c r="X9" s="183" t="s">
        <v>1</v>
      </c>
      <c r="Y9" s="177">
        <f>$AA$8</f>
        <v>1</v>
      </c>
      <c r="Z9" s="169">
        <f>IF(COUNTBLANK(W9:Y9)=0,IF(W9&lt;Y9,0,IF(W9=Y9,1,3)),"")</f>
        <v>0</v>
      </c>
      <c r="AA9" s="232" t="s">
        <v>19</v>
      </c>
      <c r="AB9" s="237"/>
      <c r="AC9" s="238"/>
      <c r="AD9" s="178"/>
      <c r="AE9" s="162">
        <f>SUM(K9,O9,S9,W9)</f>
        <v>3</v>
      </c>
      <c r="AF9" s="170" t="s">
        <v>1</v>
      </c>
      <c r="AG9" s="163">
        <f>SUM(M9,Q9,U9,Y9)</f>
        <v>4</v>
      </c>
      <c r="AH9" s="164">
        <f>SUM(H7+H10+H12+H13)</f>
        <v>4</v>
      </c>
      <c r="AI9" s="165">
        <f>SUM(AE9-AG9)</f>
        <v>-1</v>
      </c>
      <c r="AJ9" s="166">
        <f>IF((F2=20),"",AL9)</f>
        <v>3</v>
      </c>
      <c r="AK9" s="32"/>
      <c r="AL9" s="83">
        <f>RANK(AW9,AW5:AW9)</f>
        <v>3</v>
      </c>
      <c r="AM9" s="82">
        <f>SUM(J9)</f>
        <v>0</v>
      </c>
      <c r="AN9" s="82">
        <f>AH9</f>
        <v>4</v>
      </c>
      <c r="AO9" s="82">
        <f>SUM(IF(AN5=AN9,J9,0),IF(AN6=AN9,N9,0),IF(AN7=AN9,R9,0),IF(AN8=AN9,V9,0))</f>
        <v>0</v>
      </c>
      <c r="AP9" s="82">
        <f>AQ9-AR9</f>
        <v>0</v>
      </c>
      <c r="AQ9" s="82">
        <f>SUM(IF(AN5=AN9,G9,0),IF(AN6=AN9,K9,0),IF(AN7=AN9,O9,0),IF(AN8=AN9,S9,0))</f>
        <v>0</v>
      </c>
      <c r="AR9" s="82">
        <f>SUM(IF(AN5=AN9,I9,0),IF(AN6=AN9,M9,0),IF(AN7=AN9,Q9,0),IF(AN8=AN9,U9,0))</f>
        <v>0</v>
      </c>
      <c r="AS9" s="82">
        <f>AI9</f>
        <v>-1</v>
      </c>
      <c r="AT9" s="82">
        <f>AE9</f>
        <v>3</v>
      </c>
      <c r="AU9" s="82">
        <f>IF(AG9&gt;0,AE9/AG9,IF(AND(AE9&gt;0,AG9=0),90,0))</f>
        <v>0.75</v>
      </c>
      <c r="AV9" s="87">
        <f>IF(B3&gt;0,0,IF('[1]program'!E126=AM9,0.5,IF('[1]program'!E127=AM9,0.4,IF('[1]program'!E128=AM9,0.3,IF('[1]program'!E129=AM9,0.2,IF('[1]program'!E130=AM9,0.1,0))))))</f>
        <v>0.5</v>
      </c>
      <c r="AW9" s="82">
        <f>1000000000*AN9+100000000*AO9+1000000*AP9+10000*AQ9+100*AS9+AT9+AV9</f>
        <v>3999999903.5</v>
      </c>
      <c r="AX9" s="82">
        <f>10000*AN9+100*AS9+AU9</f>
        <v>39900.75</v>
      </c>
      <c r="AY9" s="82">
        <f>RANK(AX9,AX5:AX9)</f>
        <v>3</v>
      </c>
      <c r="AZ9" s="85"/>
      <c r="BA9" s="82">
        <f>IF(AL9=1,AM9,"")</f>
      </c>
      <c r="BB9" s="82">
        <f>IF(AL9=2,AM9,"")</f>
      </c>
      <c r="BC9" s="82">
        <f>IF(AL9=3,AM9,"")</f>
        <v>0</v>
      </c>
      <c r="BD9" s="82">
        <f>IF(AL9=4,AM9,"")</f>
      </c>
      <c r="BE9" s="82">
        <f>IF(AL9=5,AM9,"")</f>
      </c>
      <c r="BF9" s="85"/>
      <c r="BG9" s="82" t="str">
        <f>IF(COUNTBLANK(BE5:BE9)=5,BH9,"5A")</f>
        <v>5A</v>
      </c>
      <c r="BH9" s="82">
        <f>IF(F2=0,IF(BI9=1,VLOOKUP(5,AL5:AM9,2,0),"5A"),"5A")</f>
        <v>0</v>
      </c>
      <c r="BI9" s="82">
        <f>IF(F2=0,5-COUNTBLANK(BE5:BE9),0)</f>
        <v>1</v>
      </c>
      <c r="BJ9" s="82">
        <f>IF(BI9=2,IF(AL5=5,AM5,IF(AL6=5,AM6,IF(AL7=5,AM7,AM9))),"")</f>
      </c>
      <c r="BK9" s="87">
        <f>IF(BI9&lt;2,"",IF(CHOOSE(MATCH(BJ9,BE5:BE10,0)+1,BE5,BE6,BE7,BE8,BE9,BE10)="",IF(CHOOSE(MATCH(BJ9,BE5:BE10,0)+2,BE5,BE6,BE7,BE8,BE9,BE10)="",IF(CHOOSE(MATCH(BJ9,BE5:BE10,0)+3,BE5,BE6,BE7,BE8,BE9,BE10)="",IF(CHOOSE(MATCH(BJ9,BE5:BE10,0)+4,BE5,BE6,BE7,BE8,BE9,BE10)="",CHOOSE(MATCH(BJ9,BE5:BE10,0)+5,BE5,BE6,BE7,BE8,BE9,BE10),CHOOSE(MATCH(BJ9,BE5:BE10,0)+4,BE5,BE6,BE7,BE8,BE9,BE10)),CHOOSE(MATCH(BJ9,BE5:BE10,0)+3,BE5,BE6,BE7,BE8,BE9,BE10)),CHOOSE(MATCH(BJ9,BE5:BE10,0)+2,BE5,BE6,BE7,BE8,BE9,BE10)),CHOOSE(MATCH(BJ9,BE5:BE10,0)+1,BE5,BE6,BE7,BE8,BE9,BE10)))</f>
      </c>
      <c r="BL9" s="87"/>
      <c r="BM9" s="87"/>
      <c r="BN9" s="87"/>
      <c r="BO9" s="85"/>
      <c r="BP9" s="87"/>
      <c r="BQ9" s="32"/>
      <c r="BR9" s="32"/>
      <c r="BS9" s="32"/>
      <c r="BT9" s="32"/>
    </row>
    <row r="10" spans="2:72" ht="19.5" customHeight="1" thickBot="1" thickTop="1">
      <c r="B10" s="106" t="str">
        <f>Týmy!$B$5</f>
        <v>Gamblers </v>
      </c>
      <c r="C10" s="108">
        <f>$AA$6</f>
        <v>2</v>
      </c>
      <c r="D10" s="105" t="s">
        <v>1</v>
      </c>
      <c r="E10" s="108">
        <f>$AC$6</f>
        <v>1</v>
      </c>
      <c r="F10" s="108" t="str">
        <f>Týmy!$B$8</f>
        <v>FC Cutnik t.</v>
      </c>
      <c r="G10" s="103">
        <f t="shared" si="0"/>
        <v>3</v>
      </c>
      <c r="H10" s="104">
        <f t="shared" si="1"/>
        <v>0</v>
      </c>
      <c r="AK10" s="32"/>
      <c r="AL10" s="86"/>
      <c r="AM10" s="85"/>
      <c r="AN10" s="85"/>
      <c r="AO10" s="85"/>
      <c r="AP10" s="85"/>
      <c r="AQ10" s="85"/>
      <c r="AR10" s="85"/>
      <c r="AS10" s="85"/>
      <c r="AT10" s="85"/>
      <c r="AU10" s="85"/>
      <c r="AV10" s="87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32"/>
      <c r="BQ10" s="32"/>
      <c r="BR10" s="32"/>
      <c r="BS10" s="32"/>
      <c r="BT10" s="32"/>
    </row>
    <row r="11" spans="2:37" ht="19.5" customHeight="1" hidden="1">
      <c r="B11" s="106" t="str">
        <f>Týmy!$B$6</f>
        <v>Výb. CV a MO</v>
      </c>
      <c r="C11" s="108">
        <f>$W$7</f>
        <v>1</v>
      </c>
      <c r="D11" s="105" t="s">
        <v>1</v>
      </c>
      <c r="E11" s="108">
        <f>$Y$7</f>
        <v>1</v>
      </c>
      <c r="F11" s="108" t="str">
        <f>Týmy!$B$7</f>
        <v>Bílina</v>
      </c>
      <c r="G11" s="103">
        <f t="shared" si="0"/>
        <v>1</v>
      </c>
      <c r="H11" s="104">
        <f t="shared" si="1"/>
        <v>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K11" s="32"/>
    </row>
    <row r="12" spans="2:37" ht="19.5" customHeight="1" hidden="1">
      <c r="B12" s="106" t="str">
        <f>Týmy!$B$6</f>
        <v>Výb. CV a MO</v>
      </c>
      <c r="C12" s="108">
        <f>$AA$7</f>
        <v>0</v>
      </c>
      <c r="D12" s="105" t="s">
        <v>1</v>
      </c>
      <c r="E12" s="108">
        <f>$AC$7</f>
        <v>1</v>
      </c>
      <c r="F12" s="108" t="str">
        <f>Týmy!$B$8</f>
        <v>FC Cutnik t.</v>
      </c>
      <c r="G12" s="103">
        <f t="shared" si="0"/>
        <v>0</v>
      </c>
      <c r="H12" s="104">
        <f t="shared" si="1"/>
        <v>3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K12" s="32"/>
    </row>
    <row r="13" spans="2:37" ht="19.5" customHeight="1" hidden="1" thickBot="1">
      <c r="B13" s="109" t="str">
        <f>Týmy!$B$7</f>
        <v>Bílina</v>
      </c>
      <c r="C13" s="110">
        <f>$AA$8</f>
        <v>1</v>
      </c>
      <c r="D13" s="111" t="s">
        <v>1</v>
      </c>
      <c r="E13" s="110">
        <f>$AC$8</f>
        <v>0</v>
      </c>
      <c r="F13" s="110" t="str">
        <f>Týmy!$B$8</f>
        <v>FC Cutnik t.</v>
      </c>
      <c r="G13" s="112">
        <f t="shared" si="0"/>
        <v>3</v>
      </c>
      <c r="H13" s="113">
        <f t="shared" si="1"/>
        <v>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K13" s="32"/>
    </row>
    <row r="14" spans="11:37" ht="19.5" customHeight="1" hidden="1" thickBot="1" thickTop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K14" s="32"/>
    </row>
    <row r="15" spans="2:37" ht="19.5" customHeight="1" hidden="1" thickTop="1">
      <c r="B15" s="222" t="s">
        <v>75</v>
      </c>
      <c r="C15" s="223"/>
      <c r="D15" s="100"/>
      <c r="E15" s="100"/>
      <c r="F15" s="100">
        <f>COUNTBLANK(C17:E26)</f>
        <v>0</v>
      </c>
      <c r="G15" s="100"/>
      <c r="H15" s="10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K15" s="32"/>
    </row>
    <row r="16" spans="2:37" ht="19.5" customHeight="1" hidden="1">
      <c r="B16" s="102"/>
      <c r="C16" s="103"/>
      <c r="D16" s="103"/>
      <c r="E16" s="103"/>
      <c r="F16" s="103"/>
      <c r="G16" s="103" t="s">
        <v>55</v>
      </c>
      <c r="H16" s="104" t="s">
        <v>56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K16" s="32"/>
    </row>
    <row r="17" spans="2:37" ht="19.5" customHeight="1" hidden="1" thickBot="1">
      <c r="B17" s="102">
        <v>6</v>
      </c>
      <c r="C17" s="103">
        <f>$O$19</f>
        <v>1</v>
      </c>
      <c r="D17" s="105" t="s">
        <v>1</v>
      </c>
      <c r="E17" s="103">
        <f>$Q$19</f>
        <v>1</v>
      </c>
      <c r="F17" s="103">
        <v>7</v>
      </c>
      <c r="G17" s="103">
        <f aca="true" t="shared" si="2" ref="G17:G26">IF(COUNTBLANK(C17:E17)&gt;0,0,IF(C17&gt;E17,3,IF(C17=E17,1,0)))</f>
        <v>1</v>
      </c>
      <c r="H17" s="104">
        <f aca="true" t="shared" si="3" ref="H17:H26">IF(COUNTBLANK(C17:E17)&gt;0,0,IF(C17&lt;E17,3,IF(C17=E17,1,0)))</f>
        <v>1</v>
      </c>
      <c r="AK17" s="32"/>
    </row>
    <row r="18" spans="2:67" ht="19.5" customHeight="1" thickTop="1">
      <c r="B18" s="106">
        <v>6</v>
      </c>
      <c r="C18" s="107">
        <f>$S$19</f>
        <v>1</v>
      </c>
      <c r="D18" s="105" t="s">
        <v>1</v>
      </c>
      <c r="E18" s="108">
        <f>$U$19</f>
        <v>0</v>
      </c>
      <c r="F18" s="108">
        <v>8</v>
      </c>
      <c r="G18" s="103">
        <f t="shared" si="2"/>
        <v>3</v>
      </c>
      <c r="H18" s="104">
        <f t="shared" si="3"/>
        <v>0</v>
      </c>
      <c r="J18" s="149" t="s">
        <v>20</v>
      </c>
      <c r="K18" s="224" t="str">
        <f>Týmy!$B$9</f>
        <v>Partizan Most</v>
      </c>
      <c r="L18" s="225"/>
      <c r="M18" s="226"/>
      <c r="N18" s="151"/>
      <c r="O18" s="227" t="str">
        <f>Týmy!$B$10</f>
        <v>Sparta Chom.</v>
      </c>
      <c r="P18" s="228"/>
      <c r="Q18" s="229"/>
      <c r="R18" s="154"/>
      <c r="S18" s="227" t="str">
        <f>Týmy!$B$11</f>
        <v>FCH st. gar.</v>
      </c>
      <c r="T18" s="228"/>
      <c r="U18" s="229"/>
      <c r="V18" s="154"/>
      <c r="W18" s="227" t="str">
        <f>Týmy!$B$12</f>
        <v>TJ Sokol</v>
      </c>
      <c r="X18" s="230"/>
      <c r="Y18" s="231"/>
      <c r="Z18" s="167"/>
      <c r="AA18" s="227" t="str">
        <f>Týmy!$B$13</f>
        <v>Fénix</v>
      </c>
      <c r="AB18" s="228"/>
      <c r="AC18" s="229"/>
      <c r="AD18" s="154"/>
      <c r="AE18" s="227" t="s">
        <v>16</v>
      </c>
      <c r="AF18" s="228"/>
      <c r="AG18" s="229"/>
      <c r="AH18" s="155" t="s">
        <v>17</v>
      </c>
      <c r="AI18" s="153"/>
      <c r="AJ18" s="156" t="s">
        <v>18</v>
      </c>
      <c r="AK18" s="32"/>
      <c r="AL18" s="84" t="s">
        <v>58</v>
      </c>
      <c r="AM18" s="85"/>
      <c r="AN18" s="85" t="s">
        <v>44</v>
      </c>
      <c r="AO18" s="85" t="s">
        <v>59</v>
      </c>
      <c r="AP18" s="85" t="s">
        <v>60</v>
      </c>
      <c r="AQ18" s="85" t="s">
        <v>61</v>
      </c>
      <c r="AR18" s="85" t="s">
        <v>62</v>
      </c>
      <c r="AS18" s="85" t="s">
        <v>63</v>
      </c>
      <c r="AT18" s="85" t="s">
        <v>64</v>
      </c>
      <c r="AU18" s="85" t="s">
        <v>65</v>
      </c>
      <c r="AV18" s="85" t="s">
        <v>66</v>
      </c>
      <c r="AW18" s="85" t="s">
        <v>67</v>
      </c>
      <c r="AX18" s="85" t="s">
        <v>68</v>
      </c>
      <c r="AY18" s="85" t="s">
        <v>69</v>
      </c>
      <c r="AZ18" s="85"/>
      <c r="BA18" s="85" t="s">
        <v>70</v>
      </c>
      <c r="BB18" s="85" t="s">
        <v>71</v>
      </c>
      <c r="BC18" s="85" t="s">
        <v>72</v>
      </c>
      <c r="BD18" s="85" t="s">
        <v>73</v>
      </c>
      <c r="BE18" s="85" t="s">
        <v>74</v>
      </c>
      <c r="BF18" s="85"/>
      <c r="BG18" s="85"/>
      <c r="BH18" s="85"/>
      <c r="BI18" s="85"/>
      <c r="BJ18" s="85">
        <v>1</v>
      </c>
      <c r="BK18" s="85">
        <v>2</v>
      </c>
      <c r="BL18" s="85">
        <v>3</v>
      </c>
      <c r="BM18" s="85">
        <v>4</v>
      </c>
      <c r="BN18" s="85">
        <v>5</v>
      </c>
      <c r="BO18" s="85">
        <v>6</v>
      </c>
    </row>
    <row r="19" spans="2:67" ht="19.5" customHeight="1">
      <c r="B19" s="106">
        <v>6</v>
      </c>
      <c r="C19" s="108">
        <f>$W$19</f>
        <v>3</v>
      </c>
      <c r="D19" s="105" t="s">
        <v>1</v>
      </c>
      <c r="E19" s="108">
        <f>$Y$19</f>
        <v>0</v>
      </c>
      <c r="F19" s="108">
        <v>9</v>
      </c>
      <c r="G19" s="103">
        <f t="shared" si="2"/>
        <v>3</v>
      </c>
      <c r="H19" s="104">
        <f t="shared" si="3"/>
        <v>0</v>
      </c>
      <c r="J19" s="157" t="str">
        <f>Týmy!$B$9</f>
        <v>Partizan Most</v>
      </c>
      <c r="K19" s="219" t="s">
        <v>20</v>
      </c>
      <c r="L19" s="220"/>
      <c r="M19" s="221"/>
      <c r="N19" s="128"/>
      <c r="O19" s="144">
        <f>IF(ISBLANK(Výsledky!E13),"",Výsledky!E13)</f>
        <v>1</v>
      </c>
      <c r="P19" s="182" t="s">
        <v>1</v>
      </c>
      <c r="Q19" s="81">
        <f>IF(ISBLANK(Výsledky!G13),"",Výsledky!G13)</f>
        <v>1</v>
      </c>
      <c r="R19" s="143">
        <f>IF(COUNTBLANK(O19:Q19)=0,IF(O19&lt;Q19,0,IF(O19=Q19,1,3)),"")</f>
        <v>1</v>
      </c>
      <c r="S19" s="80">
        <f>IF(ISBLANK(Výsledky!E18),"",Výsledky!E18)</f>
        <v>1</v>
      </c>
      <c r="T19" s="180" t="s">
        <v>1</v>
      </c>
      <c r="U19" s="81">
        <f>IF(ISBLANK(Výsledky!G18),"",Výsledky!G18)</f>
        <v>0</v>
      </c>
      <c r="V19" s="90">
        <f>IF(COUNTBLANK(S19:U19)=0,IF(S19&lt;U19,0,IF(S19=U19,1,3)),"")</f>
        <v>3</v>
      </c>
      <c r="W19" s="80">
        <f>IF(ISBLANK(Výsledky!E21),"",Výsledky!E21)</f>
        <v>3</v>
      </c>
      <c r="X19" s="180" t="s">
        <v>1</v>
      </c>
      <c r="Y19" s="81">
        <f>IF(ISBLANK(Výsledky!G21),"",Výsledky!G21)</f>
        <v>0</v>
      </c>
      <c r="Z19" s="90">
        <f>IF(COUNTBLANK(W19:Y19)=0,IF(W19&lt;Y19,0,IF(W19=Y19,1,3)),"")</f>
        <v>3</v>
      </c>
      <c r="AA19" s="80">
        <f>IF(ISBLANK(Výsledky!E15),"",Výsledky!E15)</f>
        <v>2</v>
      </c>
      <c r="AB19" s="180" t="s">
        <v>1</v>
      </c>
      <c r="AC19" s="81">
        <f>IF(ISBLANK(Výsledky!G15),"",Výsledky!G15)</f>
        <v>0</v>
      </c>
      <c r="AD19" s="90">
        <f>IF(COUNTBLANK(AA19:AC19)=0,IF(AA19&lt;AC19,0,IF(AA19=AC19,1,3)),"")</f>
        <v>3</v>
      </c>
      <c r="AE19" s="71">
        <f>SUM(O19,S19,W19,AA19)</f>
        <v>7</v>
      </c>
      <c r="AF19" s="72" t="s">
        <v>1</v>
      </c>
      <c r="AG19" s="73">
        <f>SUM(Q19,U19,Y19,AC19)</f>
        <v>1</v>
      </c>
      <c r="AH19" s="74">
        <f>SUM(G17+G18+G19+G20)</f>
        <v>10</v>
      </c>
      <c r="AI19" s="71">
        <f>SUM(AE19-AG19)</f>
        <v>6</v>
      </c>
      <c r="AJ19" s="89">
        <f>IF((F15=20),"",AL19)</f>
        <v>1</v>
      </c>
      <c r="AK19" s="32"/>
      <c r="AL19" s="83">
        <f>RANK(AW19,AW19:AW23)</f>
        <v>1</v>
      </c>
      <c r="AM19" s="82">
        <f>SUM(J19)</f>
        <v>0</v>
      </c>
      <c r="AN19" s="82">
        <f>AH19</f>
        <v>10</v>
      </c>
      <c r="AO19" s="82">
        <f>SUM(IF(AN20=AN19,N19,0),IF(AN21=AN19,R19,0),IF(AN22=AN19,V19,0),IF(AN23=AN19,Z19,0))</f>
        <v>0</v>
      </c>
      <c r="AP19" s="82">
        <f>AQ19-AR19</f>
        <v>0</v>
      </c>
      <c r="AQ19" s="82">
        <f>SUM(IF(AN20=AN19,K19,0),IF(AN21=AN19,O19,0),IF(AN22=AN19,S19,0),IF(AN23=AN19,W19,0))</f>
        <v>0</v>
      </c>
      <c r="AR19" s="82">
        <f>SUM(IF(AN20=AN19,M19,0),IF(AN21=AN19,Q19,0),IF(AN22=AN19,U19,0),IF(AN23=AN19,Y19,0))</f>
        <v>0</v>
      </c>
      <c r="AS19" s="82">
        <f>AI19</f>
        <v>6</v>
      </c>
      <c r="AT19" s="82">
        <f>AE19</f>
        <v>7</v>
      </c>
      <c r="AU19" s="82">
        <f>IF(AG19&gt;0,AE19/AG19,IF(AND(AE19&gt;0,AG19=0),90,0))</f>
        <v>7</v>
      </c>
      <c r="AV19" s="87">
        <f>IF(B17&gt;0,0,IF('[1]program'!E140=AM19,0.5,IF('[1]program'!E141=AM19,0.4,IF('[1]program'!E142=AM19,0.3,IF('[1]program'!E143=AM19,0.2,IF('[1]program'!E144=AM19,0.1,0))))))</f>
        <v>0</v>
      </c>
      <c r="AW19" s="82">
        <f>1000000000*AN19+100000000*AO19+1000000*AP19+10000*AQ19+100*AS19+AT19+AV19</f>
        <v>10000000607</v>
      </c>
      <c r="AX19" s="82">
        <f>10000*AN19+100*AS19+AU19</f>
        <v>100607</v>
      </c>
      <c r="AY19" s="82">
        <f>RANK(AX19,AX19:AX23)</f>
        <v>1</v>
      </c>
      <c r="AZ19" s="85"/>
      <c r="BA19" s="82">
        <f>IF(AL19=1,AM19,"")</f>
        <v>0</v>
      </c>
      <c r="BB19" s="82">
        <f>IF(AL19=2,AM19,"")</f>
      </c>
      <c r="BC19" s="82">
        <f>IF(AL19=3,AM19,"")</f>
      </c>
      <c r="BD19" s="82">
        <f>IF(AL19=4,AM19,"")</f>
      </c>
      <c r="BE19" s="82">
        <f>IF(AL19=5,AM19,"")</f>
      </c>
      <c r="BF19" s="85"/>
      <c r="BG19" s="82" t="str">
        <f>IF(COUNTBLANK(BA19:BA23)=5,BH19,"1B")</f>
        <v>1B</v>
      </c>
      <c r="BH19" s="82">
        <f>IF(F15=0,IF(BI19=1,VLOOKUP(1,AL19:AM23,2,0),IF(BI19=2,"los2",IF(BI19=3,"los3",IF(BI19=4,"los4",IF(BI19=5,"los5","1B"))))),"1B")</f>
        <v>0</v>
      </c>
      <c r="BI19" s="82">
        <f>IF(F16=0,5-COUNTBLANK(BA19:BA23),0)</f>
        <v>1</v>
      </c>
      <c r="BJ19" s="82">
        <f>IF(BI19&gt;1,IF(BA19=AM19,AM19,IF(BA20=AM20,AM20,IF(BA21=AM21,AM21,IF(BA22=AM22,AM22,"")))),"")</f>
      </c>
      <c r="BK19" s="87">
        <f>IF(BI19&lt;2,"",IF(CHOOSE(MATCH(BJ19,BA19:BA24,0)+1,BA19,BA20,BA21,BA22,BA23,BA24)="",IF(CHOOSE(MATCH(BJ19,BA19:BA24,0)+2,BA19,BA20,BA21,BA22,BA23,BA24)="",IF(CHOOSE(MATCH(BJ19,BA19:BA24,0)+3,BA19,BA20,BA21,BA22,BA23,BA24)="",IF(CHOOSE(MATCH(BJ19,BA19:BA24,0)+4,BA19,BA20,BA21,BA22,BA23,BA24)="",CHOOSE(MATCH(BJ19,BA19:BA24,0)+5,BA19,BA20,BA21,BA22,BA23,BA24),CHOOSE(MATCH(BJ19,BA19:BA24,0)+4,BA19,BA20,BA21,BA22,BA23,BA24)),CHOOSE(MATCH(BJ19,BA19:BA24,0)+3,BA19,BA20,BA21,BA22,BA23,BA24)),CHOOSE(MATCH(BJ19,BA19:BA24,0)+2,BA19,BA20,BA21,BA22,BA23,BA24)),CHOOSE(MATCH(BJ19,BA19:BA24,0)+1,BA19,BA20,BA21,BA22,BA23,BA24)))</f>
      </c>
      <c r="BL19" s="87">
        <f>IF(BI19&lt;3,"",IF(CHOOSE(MATCH(BK19,BA19:BA24,0)+1,BA19,BA20,BA21,BA22,BA23,BA24)="",IF(CHOOSE(MATCH(BK19,BA19:BA24,0)+2,BA19,BA20,BA21,BA22,BA23,BA24)="",IF(CHOOSE(MATCH(BK19,BA19:BA24,0)+3,BA19,BA20,BA21,BA22,BA23,BA24)="",IF(CHOOSE(MATCH(BK19,BA19:BA24,0)+4,BA19,BA20,BA21,BA22,BA23,BA24)="",CHOOSE(MATCH(BK19,BA19:BA24,0)+5,BA19,BA20,BA21,BA22,BA23,BA24),CHOOSE(MATCH(BK19,BA19:BA24,0)+4,BA19,BA20,BA21,BA22,BA23,BA24)),CHOOSE(MATCH(BK19,BA19:BA24,0)+3,BA19,BA20,BA21,BA22,BA23,BA24)),CHOOSE(MATCH(BK19,BA19:BA24,0)+2,BA19,BA20,BA21,BA22,BA23,BA24)),CHOOSE(MATCH(BK19,BA19:BA24,0)+1,BA19,BA20,BA21,BA22,BA23,BA24)))</f>
      </c>
      <c r="BM19" s="87">
        <f>IF(BI19&lt;4,"",IF(CHOOSE(MATCH(BL19,BA19:BA24,0)+1,BA19,BA20,BA21,BA22,BA23,BA24)="",IF(CHOOSE(MATCH(BL19,BA19:BA24,0)+2,BA19,BA20,BA21,BA22,BA23,BA24)="",IF(CHOOSE(MATCH(BL19,BA19:BA24,0)+3,BA19,BA20,BA21,BA22,BA23,BA24)="",IF(CHOOSE(MATCH(BL19,BA19:BA24,0)+4,BA19,BA20,BA21,BA22,BA23,BA24)="",CHOOSE(MATCH(BL19,BA19:BA24,0)+5,BA19,BA20,BA21,BA22,BA23,BA24),CHOOSE(MATCH(BL19,BA19:BA24,0)+4,BA19,BA20,BA21,BA22,BA23,BA24)),CHOOSE(MATCH(BL19,BA19:BA24,0)+3,BA19,BA20,BA21,BA22,BA23,BA24)),CHOOSE(MATCH(BL19,BA19:BA24,0)+2,BA19,BA20,BA21,BA22,BA23,BA24)),CHOOSE(MATCH(BL19,BA19:BA24,0)+1,BA19,BA20,BA21,BA22,BA23,BA24)))</f>
      </c>
      <c r="BN19" s="87">
        <f>IF(BI19&lt;5,"",IF(CHOOSE(MATCH(BM19,BA19:BA24,0)+1,BA19,BA20,BA21,BA22,BA23,BA24)="",IF(CHOOSE(MATCH(BM19,BA19:BA24,0)+2,BA19,BA20,BA21,BA22,BA23,BA24)="",IF(CHOOSE(MATCH(BM19,BA19:BA24,0)+3,BA19,BA20,BA21,BA22,BA23,BA24)="",IF(CHOOSE(MATCH(BM19,BA19:BA24,0)+4,BA19,BA20,BA21,BA22,BA23,BA24)="",CHOOSE(MATCH(BM19,BA19:BA24,0)+5,BA19,BA20,BA21,BA22,BA23,BA24),CHOOSE(MATCH(BM19,BA19:BA24,0)+4,BA19,BA20,BA21,BA22,BA23,BA24)),CHOOSE(MATCH(BM19,BA19:BA24,0)+3,BA19,BA20,BA21,BA22,BA23,BA24)),CHOOSE(MATCH(BM19,BA19:BA24,0)+2,BA19,BA20,BA21,BA22,BA23,BA24)),CHOOSE(MATCH(BM19,BA19:BA24,0)+1,BA19,BA20,BA21,BA22,BA23,BA24)))</f>
      </c>
      <c r="BO19" s="85">
        <f>IF(BI19=6,AM24,"")</f>
      </c>
    </row>
    <row r="20" spans="2:67" ht="19.5" customHeight="1">
      <c r="B20" s="106">
        <v>6</v>
      </c>
      <c r="C20" s="108">
        <f>$AA$19</f>
        <v>2</v>
      </c>
      <c r="D20" s="105" t="s">
        <v>1</v>
      </c>
      <c r="E20" s="108">
        <f>$AC$19</f>
        <v>0</v>
      </c>
      <c r="F20" s="108">
        <v>10</v>
      </c>
      <c r="G20" s="103">
        <f t="shared" si="2"/>
        <v>3</v>
      </c>
      <c r="H20" s="104">
        <f t="shared" si="3"/>
        <v>0</v>
      </c>
      <c r="J20" s="157" t="str">
        <f>Týmy!$B$10</f>
        <v>Sparta Chom.</v>
      </c>
      <c r="K20" s="146">
        <f>$Q$19</f>
        <v>1</v>
      </c>
      <c r="L20" s="179" t="s">
        <v>1</v>
      </c>
      <c r="M20" s="147">
        <f>$O$19</f>
        <v>1</v>
      </c>
      <c r="N20" s="145">
        <f>IF(COUNTBLANK(K20:M20)=0,IF(K20&lt;M20,0,IF(K20=M20,1,3)),"")</f>
        <v>1</v>
      </c>
      <c r="O20" s="219" t="s">
        <v>20</v>
      </c>
      <c r="P20" s="220"/>
      <c r="Q20" s="221"/>
      <c r="R20" s="128"/>
      <c r="S20" s="144">
        <f>IF(ISBLANK(Výsledky!E16),"",Výsledky!E16)</f>
        <v>0</v>
      </c>
      <c r="T20" s="182" t="s">
        <v>1</v>
      </c>
      <c r="U20" s="81">
        <f>IF(ISBLANK(Výsledky!G16),"",Výsledky!G16)</f>
        <v>0</v>
      </c>
      <c r="V20" s="143">
        <f>IF(COUNTBLANK(S20:U20)=0,IF(S20&lt;U20,0,IF(S20=U20,1,3)),"")</f>
        <v>1</v>
      </c>
      <c r="W20" s="80">
        <f>IF(ISBLANK(Výsledky!E19),"",Výsledky!E19)</f>
        <v>3</v>
      </c>
      <c r="X20" s="180" t="s">
        <v>1</v>
      </c>
      <c r="Y20" s="81">
        <f>IF(ISBLANK(Výsledky!G19),"",Výsledky!G19)</f>
        <v>0</v>
      </c>
      <c r="Z20" s="90">
        <f>IF(COUNTBLANK(W20:Y20)=0,IF(W20&lt;Y20,0,IF(W20=Y20,1,3)),"")</f>
        <v>3</v>
      </c>
      <c r="AA20" s="80">
        <f>IF(ISBLANK(Výsledky!E22),"",Výsledky!E22)</f>
        <v>1</v>
      </c>
      <c r="AB20" s="180" t="s">
        <v>1</v>
      </c>
      <c r="AC20" s="81">
        <f>IF(ISBLANK(Výsledky!G22),"",Výsledky!G22)</f>
        <v>0</v>
      </c>
      <c r="AD20" s="90">
        <f>IF(COUNTBLANK(AA20:AC20)=0,IF(AA20&lt;AC20,0,IF(AA20=AC20,1,3)),"")</f>
        <v>3</v>
      </c>
      <c r="AE20" s="71">
        <f>SUM(K20,S20,W20,AA20)</f>
        <v>5</v>
      </c>
      <c r="AF20" s="72" t="s">
        <v>1</v>
      </c>
      <c r="AG20" s="73">
        <f>SUM(M20,U20,Y20,AC20)</f>
        <v>1</v>
      </c>
      <c r="AH20" s="74">
        <f>SUM(H17+G21+G22+H23)</f>
        <v>5</v>
      </c>
      <c r="AI20" s="71">
        <f>SUM(AE20-AG20)</f>
        <v>4</v>
      </c>
      <c r="AJ20" s="89">
        <f>IF((F15=20),"",AL20)</f>
        <v>2</v>
      </c>
      <c r="AK20" s="32"/>
      <c r="AL20" s="83">
        <f>RANK(AW20,AW19:AW23)</f>
        <v>2</v>
      </c>
      <c r="AM20" s="82">
        <f>SUM(J20)</f>
        <v>0</v>
      </c>
      <c r="AN20" s="82">
        <f>AH20</f>
        <v>5</v>
      </c>
      <c r="AO20" s="82">
        <f>SUM(IF(AN19=AN20,J20,0),IF(AN21=AN20,R20,0),IF(AN22=AN20,V20,0),IF(AN23=AN20,Z20,0))</f>
        <v>0</v>
      </c>
      <c r="AP20" s="82">
        <f>AQ20-AR20</f>
        <v>0</v>
      </c>
      <c r="AQ20" s="82">
        <f>SUM(IF(AN19=AN20,G20,0),IF(AN21=AN20,O20,0),IF(AN22=AN20,S20,0),IF(AN23=AN20,W20,0))</f>
        <v>0</v>
      </c>
      <c r="AR20" s="82">
        <f>SUM(IF(AN19=AN20,I20,0),IF(AN21=AN20,Q20,0),IF(AN22=AN20,U20,0),IF(AN23=AN20,Y20,0))</f>
        <v>0</v>
      </c>
      <c r="AS20" s="82">
        <f>AI20</f>
        <v>4</v>
      </c>
      <c r="AT20" s="82">
        <f>AE20</f>
        <v>5</v>
      </c>
      <c r="AU20" s="82">
        <f>IF(AG20&gt;0,AE20/AG20,IF(AND(AE20&gt;0,AG20=0),90,0))</f>
        <v>5</v>
      </c>
      <c r="AV20" s="87">
        <f>IF(B17&gt;0,0,IF('[1]program'!E140=AM20,0.5,IF('[1]program'!E141=AM20,0.4,IF('[1]program'!E142=AM20,0.3,IF('[1]program'!E143=AM20,0.2,IF('[1]program'!E144=AM20,0.1,0))))))</f>
        <v>0</v>
      </c>
      <c r="AW20" s="82">
        <f>1000000000*AN20+100000000*AO20+1000000*AP20+10000*AQ20+100*AS20+AT20+AV20</f>
        <v>5000000405</v>
      </c>
      <c r="AX20" s="82">
        <f>10000*AN20+100*AS20+AU20</f>
        <v>50405</v>
      </c>
      <c r="AY20" s="82">
        <f>RANK(AX20,AX19:AX23)</f>
        <v>2</v>
      </c>
      <c r="AZ20" s="85"/>
      <c r="BA20" s="82">
        <f>IF(AL20=1,AM20,"")</f>
      </c>
      <c r="BB20" s="82">
        <f>IF(AL20=2,AM20,"")</f>
        <v>0</v>
      </c>
      <c r="BC20" s="82">
        <f>IF(AL20=3,AM20,"")</f>
      </c>
      <c r="BD20" s="82">
        <f>IF(AL20=4,AM20,"")</f>
      </c>
      <c r="BE20" s="82">
        <f>IF(AL20=5,AM20,"")</f>
      </c>
      <c r="BF20" s="85"/>
      <c r="BG20" s="82" t="str">
        <f>IF(COUNTBLANK(BB19:BB23)=5,BH20,"2B")</f>
        <v>2B</v>
      </c>
      <c r="BH20" s="82">
        <f>IF(F15=0,IF(BI20=1,VLOOKUP(2,AL19:AM23,2,0),IF(BI20=2,"los2",IF(BI20=3,"los3",IF(BI20=4,"los4","2B")))),"2B")</f>
        <v>0</v>
      </c>
      <c r="BI20" s="82">
        <f>IF(F16=0,5-COUNTBLANK(BB19:BB23),0)</f>
        <v>1</v>
      </c>
      <c r="BJ20" s="82">
        <f>IF(BI20&gt;1,IF(BB19=AM19,AM19,IF(BB20=AM20,AM20,IF(BB21=AM21,AM21,IF(BB22=AM22,AM22,"")))),"")</f>
      </c>
      <c r="BK20" s="87">
        <f>IF(BI20&lt;2,"",IF(CHOOSE(MATCH(BJ20,BB19:BB24,0)+1,BB19,BB20,BB21,BB22,BB23,BB24)="",IF(CHOOSE(MATCH(BJ20,BB19:BB24,0)+2,BB19,BB20,BB21,BB22,BB23,BB24)="",IF(CHOOSE(MATCH(BJ20,BB19:BB24,0)+3,BB19,BB20,BB21,BB22,BB23,BB24)="",IF(CHOOSE(MATCH(BJ20,BB19:BB24,0)+4,BB19,BB20,BB21,BB22,BB23,BB24)="",CHOOSE(MATCH(BJ20,BB19:BB24,0)+5,BB19,BB20,BB21,BB22,BB23,BB24),CHOOSE(MATCH(BJ20,BB19:BB24,0)+4,BB19,BB20,BB21,BB22,BB23,BB24)),CHOOSE(MATCH(BJ20,BB19:BB24,0)+3,BB19,BB20,BB21,BB22,BB23,BB24)),CHOOSE(MATCH(BJ20,BB19:BB24,0)+2,BB19,BB20,BB21,BB22,BB23,BB24)),CHOOSE(MATCH(BJ20,BB19:BB24,0)+1,BB19,BB20,BB21,BB22,BB23,BB24)))</f>
      </c>
      <c r="BL20" s="87">
        <f>IF(BI20&lt;3,"",IF(CHOOSE(MATCH(BK20,BB19:BB24,0)+1,BB19,BB20,BB21,BB22,BB23,BB24)="",IF(CHOOSE(MATCH(BK20,BB19:BB24,0)+2,BB19,BB20,BB21,BB22,BB23,BB24)="",IF(CHOOSE(MATCH(BK20,BB19:BB24,0)+3,BB19,BB20,BB21,BB22,BB23,BB24)="",IF(CHOOSE(MATCH(BK20,BB19:BB24,0)+4,BB19,BB20,BB21,BB22,BB23,BB24)="",CHOOSE(MATCH(BK20,BB19:BB24,0)+5,BB19,BB20,BB21,BB22,BB23,BB24),CHOOSE(MATCH(BK20,BB19:BB24,0)+4,BB19,BB20,BB21,BB22,BB23,BB24)),CHOOSE(MATCH(BK20,BB19:BB24,0)+3,BB19,BB20,BB21,BB22,BB23,BB24)),CHOOSE(MATCH(BK20,BB19:BB24,0)+2,BB19,BB20,BB21,BB22,BB23,BB24)),CHOOSE(MATCH(BK20,BB19:BB24,0)+1,BB19,BB20,BB21,BB22,BB23,BB24)))</f>
      </c>
      <c r="BM20" s="87">
        <f>IF(BI20&lt;4,"",IF(CHOOSE(MATCH(BL20,BB19:BB24,0)+1,BB19,BB20,BB21,BB22,BB23,BB24)="",IF(CHOOSE(MATCH(BL20,BB19:BB24,0)+2,BB19,BB20,BB21,BB22,BB23,BB24)="",IF(CHOOSE(MATCH(BL20,BB19:BB24,0)+3,BB19,BB20,BB21,BB22,BB23,BB24)="",IF(CHOOSE(MATCH(BL20,BB19:BB24,0)+4,BB19,BB20,BB21,BB22,BB23,BB24)="",CHOOSE(MATCH(BL20,BB19:BB24,0)+5,BB19,BB20,BB21,BB22,BB23,BB24),CHOOSE(MATCH(BL20,BB19:BB24,0)+4,BB19,BB20,BB21,BB22,BB23,BB24)),CHOOSE(MATCH(BL20,BB19:BB24,0)+3,BB19,BB20,BB21,BB22,BB23,BB24)),CHOOSE(MATCH(BL20,BB19:BB24,0)+2,BB19,BB20,BB21,BB22,BB23,BB24)),CHOOSE(MATCH(BL20,BB19:BB24,0)+1,BB19,BB20,BB21,BB22,BB23,BB24)))</f>
      </c>
      <c r="BN20" s="87">
        <f>IF(BI20&lt;5,"",IF(CHOOSE(MATCH(BM20,BB19:BB24,0)+1,BB19,BB20,BB21,BB22,BB23,BB24)="",IF(CHOOSE(MATCH(BM20,BB19:BB24,0)+2,BB19,BB20,BB21,BB22,BB23,BB24)="",IF(CHOOSE(MATCH(BM20,BB19:BB24,0)+3,BB19,BB20,BB21,BB22,BB23,BB24)="",IF(CHOOSE(MATCH(BM20,BB19:BB24,0)+4,BB19,BB20,BB21,BB22,BB23,BB24)="",CHOOSE(MATCH(BM20,BB19:BB24,0)+5,BB19,BB20,BB21,BB22,BB23,BB24),CHOOSE(MATCH(BM20,BB19:BB24,0)+4,BB19,BB20,BB21,BB22,BB23,BB24)),CHOOSE(MATCH(BM20,BB19:BB24,0)+3,BB19,BB20,BB21,BB22,BB23,BB24)),CHOOSE(MATCH(BM20,BB19:BB24,0)+2,BB19,BB20,BB21,BB22,BB23,BB24)),CHOOSE(MATCH(BM20,BB19:BB24,0)+1,BB19,BB20,BB21,BB22,BB23,BB24)))</f>
      </c>
      <c r="BO20" s="85"/>
    </row>
    <row r="21" spans="2:67" ht="19.5" customHeight="1">
      <c r="B21" s="106">
        <v>7</v>
      </c>
      <c r="C21" s="108">
        <f>$S$20</f>
        <v>0</v>
      </c>
      <c r="D21" s="105" t="s">
        <v>1</v>
      </c>
      <c r="E21" s="108">
        <f>$U$20</f>
        <v>0</v>
      </c>
      <c r="F21" s="108">
        <v>8</v>
      </c>
      <c r="G21" s="103">
        <f t="shared" si="2"/>
        <v>1</v>
      </c>
      <c r="H21" s="104">
        <f t="shared" si="3"/>
        <v>1</v>
      </c>
      <c r="J21" s="158" t="str">
        <f>Týmy!$B$11</f>
        <v>FCH st. gar.</v>
      </c>
      <c r="K21" s="78">
        <f>$U$19</f>
        <v>0</v>
      </c>
      <c r="L21" s="180" t="s">
        <v>1</v>
      </c>
      <c r="M21" s="79">
        <f>$S$19</f>
        <v>1</v>
      </c>
      <c r="N21" s="90">
        <f>IF(COUNTBLANK(K21:M21)=0,IF(K21&lt;M21,0,IF(K21=M21,1,3)),"")</f>
        <v>0</v>
      </c>
      <c r="O21" s="146">
        <f>$U$20</f>
        <v>0</v>
      </c>
      <c r="P21" s="179" t="s">
        <v>1</v>
      </c>
      <c r="Q21" s="147">
        <f>$S$20</f>
        <v>0</v>
      </c>
      <c r="R21" s="145">
        <f>IF(COUNTBLANK(O21:Q21)=0,IF(O21&lt;Q21,0,IF(O21=Q21,1,3)),"")</f>
        <v>1</v>
      </c>
      <c r="S21" s="219" t="s">
        <v>20</v>
      </c>
      <c r="T21" s="220"/>
      <c r="U21" s="221"/>
      <c r="V21" s="128"/>
      <c r="W21" s="144">
        <f>IF(ISBLANK(Výsledky!E14),"",Výsledky!E14)</f>
        <v>2</v>
      </c>
      <c r="X21" s="182" t="s">
        <v>1</v>
      </c>
      <c r="Y21" s="81">
        <f>IF(ISBLANK(Výsledky!G14),"",Výsledky!G14)</f>
        <v>1</v>
      </c>
      <c r="Z21" s="143">
        <f>IF(COUNTBLANK(W21:Y21)=0,IF(W21&lt;Y21,0,IF(W21=Y21,1,3)),"")</f>
        <v>3</v>
      </c>
      <c r="AA21" s="78">
        <f>IF(ISBLANK(Výsledky!E20),"",Výsledky!E20)</f>
        <v>0</v>
      </c>
      <c r="AB21" s="180" t="s">
        <v>1</v>
      </c>
      <c r="AC21" s="81">
        <f>IF(ISBLANK(Výsledky!G20),"",Výsledky!G20)</f>
        <v>1</v>
      </c>
      <c r="AD21" s="90">
        <f>IF(COUNTBLANK(AA21:AC21)=0,IF(AA21&lt;AC21,0,IF(AA21=AC21,1,3)),"")</f>
        <v>0</v>
      </c>
      <c r="AE21" s="71">
        <f>SUM(K21,O21,W21,AA21)</f>
        <v>2</v>
      </c>
      <c r="AF21" s="72" t="s">
        <v>1</v>
      </c>
      <c r="AG21" s="73">
        <f>SUM(M21,Q21,Y21,AC21)</f>
        <v>3</v>
      </c>
      <c r="AH21" s="74">
        <f>SUM(G24+G25+H18+H21)</f>
        <v>4</v>
      </c>
      <c r="AI21" s="71">
        <f>SUM(AE21-AG21)</f>
        <v>-1</v>
      </c>
      <c r="AJ21" s="89">
        <f>IF((F15=20),"",AL21)</f>
        <v>3</v>
      </c>
      <c r="AK21" s="32"/>
      <c r="AL21" s="83">
        <f>RANK(AW21,AW19:AW23)</f>
        <v>3</v>
      </c>
      <c r="AM21" s="82">
        <f>SUM(J21)</f>
        <v>0</v>
      </c>
      <c r="AN21" s="82">
        <f>AH21</f>
        <v>4</v>
      </c>
      <c r="AO21" s="82">
        <f>SUM(IF(AN19=AN21,J21,0),IF(AN20=AN21,N21,0),IF(AN22=AN21,V21,0),IF(AN23=AN21,Z21,0))</f>
        <v>0</v>
      </c>
      <c r="AP21" s="82">
        <f>AQ21-AR21</f>
        <v>0</v>
      </c>
      <c r="AQ21" s="82">
        <f>SUM(IF(AN19=AN21,G21,0),IF(AN20=AN21,K21,0),IF(AN22=AN21,S21,0),IF(AN23=AN21,W21,0))</f>
        <v>0</v>
      </c>
      <c r="AR21" s="82">
        <f>SUM(IF(AN19=AN21,I21,0),IF(AN20=AN21,M21,0),IF(AN22=AN21,U21,0),IF(AN23=AN21,Y21,0))</f>
        <v>0</v>
      </c>
      <c r="AS21" s="82">
        <f>AI21</f>
        <v>-1</v>
      </c>
      <c r="AT21" s="82">
        <f>AE21</f>
        <v>2</v>
      </c>
      <c r="AU21" s="82">
        <f>IF(AG21&gt;0,AE21/AG21,IF(AND(AE21&gt;0,AG21=0),90,0))</f>
        <v>0.6666666666666666</v>
      </c>
      <c r="AV21" s="87">
        <f>IF(B17&gt;0,0,IF('[1]program'!E140=AM21,0.5,IF('[1]program'!E141=AM21,0.4,IF('[1]program'!E142=AM21,0.3,IF('[1]program'!E143=AM21,0.2,IF('[1]program'!E144=AM21,0.1,0))))))</f>
        <v>0</v>
      </c>
      <c r="AW21" s="82">
        <f>1000000000*AN21+100000000*AO21+1000000*AP21+10000*AQ21+100*AS21+AT21+AV21</f>
        <v>3999999902</v>
      </c>
      <c r="AX21" s="82">
        <f>10000*AN21+100*AS21+AU21</f>
        <v>39900.666666666664</v>
      </c>
      <c r="AY21" s="82">
        <f>RANK(AX21,AX19:AX23)</f>
        <v>3</v>
      </c>
      <c r="AZ21" s="85"/>
      <c r="BA21" s="82">
        <f>IF(AL21=1,AM21,"")</f>
      </c>
      <c r="BB21" s="82">
        <f>IF(AL21=2,AM21,"")</f>
      </c>
      <c r="BC21" s="82">
        <f>IF(AL21=3,AM21,"")</f>
        <v>0</v>
      </c>
      <c r="BD21" s="82">
        <f>IF(AL21=4,AM21,"")</f>
      </c>
      <c r="BE21" s="82">
        <f>IF(AL21=5,AM21,"")</f>
      </c>
      <c r="BF21" s="85"/>
      <c r="BG21" s="82" t="str">
        <f>IF(COUNTBLANK(BB19:BB23)=5,BH21,"3B")</f>
        <v>3B</v>
      </c>
      <c r="BH21" s="82">
        <f>IF(F15=0,IF(BI21=1,VLOOKUP(3,AL19:AM23,2,0),IF(BI21=2,"los2",IF(BI21=3,"los3","3B"))),"3B")</f>
        <v>0</v>
      </c>
      <c r="BI21" s="82">
        <f>IF(F16=0,5-COUNTBLANK(BC19:BC23),0)</f>
        <v>1</v>
      </c>
      <c r="BJ21" s="82">
        <f>IF(BI21&gt;1,IF(BC19=AM19,AM19,IF(BC20=AM20,AM20,IF(BC21=AM21,AM21,IF(BC22=AM22,AM22,"")))),"")</f>
      </c>
      <c r="BK21" s="87">
        <f>IF(BI21&lt;2,"",IF(CHOOSE(MATCH(BJ21,BC19:BC24,0)+1,BC19,BC20,BC21,BC22,BC23,BC24)="",IF(CHOOSE(MATCH(BJ21,BC19:BC24,0)+2,BC19,BC20,BC21,BC22,BC23,BC24)="",IF(CHOOSE(MATCH(BJ21,BC19:BC24,0)+3,BC19,BC20,BC21,BC22,BC23,BC24)="",IF(CHOOSE(MATCH(BJ21,BC19:BC24,0)+4,BC19,BC20,BC21,BC22,BC23,BC24)="",CHOOSE(MATCH(BJ21,BC19:BC24,0)+5,BC19,BC20,BC21,BC22,BC23,BC24),CHOOSE(MATCH(BJ21,BC19:BC24,0)+4,BC19,BC20,BC21,BC22,BC23,BC24)),CHOOSE(MATCH(BJ21,BC19:BC24,0)+3,BC19,BC20,BC21,BC22,BC23,BC24)),CHOOSE(MATCH(BJ21,BC19:BC24,0)+2,BC19,BC20,BC21,BC22,BC23,BC24)),CHOOSE(MATCH(BJ21,BC19:BC24,0)+1,BC19,BC20,BC21,BC22,BC23,BC24)))</f>
      </c>
      <c r="BL21" s="87">
        <f>IF(BI21&lt;3,"",IF(CHOOSE(MATCH(BK21,BC19:BC24,0)+1,BC19,BC20,BC21,BC22,BC23,BC24)="",IF(CHOOSE(MATCH(BK21,BC19:BC111,0)+2,BC19,BC20,BC21,BC22,BC23,BC24)="",IF(CHOOSE(MATCH(BK21,BC19:BC24,0)+3,BC19,BC20,BC21,BC22,BC23,BC24)="",IF(CHOOSE(MATCH(BK21,BC19:BC24,0)+4,BC19,BC20,BC21,BC22,BC23,BC24)="",CHOOSE(MATCH(BK21,BC19:BC24,0)+5,BC19,BC20,BC21,BC22,BC23,BC24),CHOOSE(MATCH(BK21,BC19:BC24,0)+4,BC19,BC20,BC21,BC22,BC23,BC24)),CHOOSE(MATCH(BK21,BC19:BC24,0)+3,BC19,BC20,BC21,BC22,BC23,BC24)),CHOOSE(MATCH(BK21,BC19:BC24,0)+2,BC19,BC20,BC21,BC22,BC23,BC24)),CHOOSE(MATCH(BK21,BC19:BC24,0)+1,BC19,BC20,BC21,BC22,BC23,BC24)))</f>
      </c>
      <c r="BM21" s="87">
        <f>IF(BI21&lt;4,"",IF(CHOOSE(MATCH(BL21,BC19:BC24,0)+1,BC19,BC20,BC21,BC22,BC23,BC24)="",IF(CHOOSE(MATCH(BL21,BC19:BC111,0)+2,BC19,BC20,BC21,BC22,BC23,BC24)="",IF(CHOOSE(MATCH(BL21,BC19:BC24,0)+3,BC19,BC20,BC21,BC22,BC23,BC24)="",IF(CHOOSE(MATCH(BL21,BC19:BC24,0)+4,BC19,BC20,BC21,BC22,BC23,BC24)="",CHOOSE(MATCH(BL21,BC19:BC24,0)+5,BC19,BC20,BC21,BC22,BC23,BC24),CHOOSE(MATCH(BL21,BC19:BC24,0)+4,BC19,BC20,BC21,BC22,BC23,BC24)),CHOOSE(MATCH(BL21,BC19:BC24,0)+3,BC19,BC20,BC21,BC22,BC23,BC24)),CHOOSE(MATCH(BL21,BC19:BC24,0)+2,BC19,BC20,BC21,BC22,BC23,BC24)),CHOOSE(MATCH(BL21,BC19:BC24,0)+1,BC19,BC20,BC21,BC22,BC23,BC24)))</f>
      </c>
      <c r="BN21" s="87"/>
      <c r="BO21" s="85"/>
    </row>
    <row r="22" spans="2:67" ht="19.5" customHeight="1">
      <c r="B22" s="106">
        <v>7</v>
      </c>
      <c r="C22" s="108">
        <f>$W$20</f>
        <v>3</v>
      </c>
      <c r="D22" s="105" t="s">
        <v>1</v>
      </c>
      <c r="E22" s="108">
        <f>$Y$20</f>
        <v>0</v>
      </c>
      <c r="F22" s="108">
        <v>9</v>
      </c>
      <c r="G22" s="103">
        <f t="shared" si="2"/>
        <v>3</v>
      </c>
      <c r="H22" s="104">
        <f t="shared" si="3"/>
        <v>0</v>
      </c>
      <c r="J22" s="158" t="str">
        <f>Týmy!$B$12</f>
        <v>TJ Sokol</v>
      </c>
      <c r="K22" s="80">
        <f>$Y$19</f>
        <v>0</v>
      </c>
      <c r="L22" s="182" t="s">
        <v>1</v>
      </c>
      <c r="M22" s="81">
        <f>$W$19</f>
        <v>3</v>
      </c>
      <c r="N22" s="90">
        <f>IF(COUNTBLANK(K22:M22)=0,IF(K22&lt;M22,0,IF(K22=M22,1,3)),"")</f>
        <v>0</v>
      </c>
      <c r="O22" s="80">
        <f>$Y$20</f>
        <v>0</v>
      </c>
      <c r="P22" s="182" t="s">
        <v>1</v>
      </c>
      <c r="Q22" s="81">
        <f>$W$20</f>
        <v>3</v>
      </c>
      <c r="R22" s="90">
        <f>IF(COUNTBLANK(O22:Q22)=0,IF(O22&lt;Q22,0,IF(O22=Q22,1,3)),"")</f>
        <v>0</v>
      </c>
      <c r="S22" s="184">
        <f>$Y$21</f>
        <v>1</v>
      </c>
      <c r="T22" s="185" t="s">
        <v>1</v>
      </c>
      <c r="U22" s="186">
        <f>$W$21</f>
        <v>2</v>
      </c>
      <c r="V22" s="145">
        <f>IF(COUNTBLANK(S22:U22)=0,IF(S22&lt;U22,0,IF(S22=U22,1,3)),"")</f>
        <v>0</v>
      </c>
      <c r="W22" s="219" t="s">
        <v>20</v>
      </c>
      <c r="X22" s="239"/>
      <c r="Y22" s="240"/>
      <c r="Z22" s="148"/>
      <c r="AA22" s="144">
        <f>IF(ISBLANK(Výsledky!E17),"",Výsledky!E17)</f>
        <v>4</v>
      </c>
      <c r="AB22" s="182" t="s">
        <v>1</v>
      </c>
      <c r="AC22" s="81">
        <f>IF(ISBLANK(Výsledky!G17),"",Výsledky!G17)</f>
        <v>0</v>
      </c>
      <c r="AD22" s="143">
        <f>IF(COUNTBLANK(AA22:AC22)=0,IF(AA22&lt;AC22,0,IF(AA22=AC22,1,3)),"")</f>
        <v>3</v>
      </c>
      <c r="AE22" s="71">
        <f>SUM(K22,O22,S22,AA22)</f>
        <v>5</v>
      </c>
      <c r="AF22" s="75" t="s">
        <v>1</v>
      </c>
      <c r="AG22" s="73">
        <f>SUM(M22,Q22,U22,AC22)</f>
        <v>8</v>
      </c>
      <c r="AH22" s="74">
        <f>SUM(G26+H19+H22+H24)</f>
        <v>3</v>
      </c>
      <c r="AI22" s="71">
        <f>SUM(AE22-AG22)</f>
        <v>-3</v>
      </c>
      <c r="AJ22" s="89">
        <f>IF((F15=20),"",AL22)</f>
        <v>5</v>
      </c>
      <c r="AK22" s="32"/>
      <c r="AL22" s="83">
        <f>RANK(AW22,AW19:AW23)</f>
        <v>5</v>
      </c>
      <c r="AM22" s="82">
        <f>SUM(J22)</f>
        <v>0</v>
      </c>
      <c r="AN22" s="82">
        <f>AH22</f>
        <v>3</v>
      </c>
      <c r="AO22" s="82">
        <f>SUM(IF(AN19=AN22,J22,0),IF(AN20=AN22,N22,0),IF(AN21=AN22,R22,0),IF(AN23=AN22,Z22,0))</f>
        <v>0</v>
      </c>
      <c r="AP22" s="82">
        <f>AQ22-AR22</f>
        <v>0</v>
      </c>
      <c r="AQ22" s="82">
        <f>SUM(IF(AN19=AN22,G22,0),IF(AN20=AN22,K22,0),IF(AN21=AN22,O22,0),IF(AN23=AN22,W22,0))</f>
        <v>0</v>
      </c>
      <c r="AR22" s="82">
        <f>SUM(IF(AN19=AN22,I22,0),IF(AN20=AN22,M22,0),IF(AN21=AN22,Q22,0),IF(AN23=AN22,Y22,0))</f>
        <v>0</v>
      </c>
      <c r="AS22" s="82">
        <f>AI22</f>
        <v>-3</v>
      </c>
      <c r="AT22" s="82">
        <f>AE22</f>
        <v>5</v>
      </c>
      <c r="AU22" s="82">
        <f>IF(AG22&gt;0,AE22/AG22,IF(AND(AE22&gt;0,AG22=0),90,0))</f>
        <v>0.625</v>
      </c>
      <c r="AV22" s="87">
        <f>IF(B17&gt;0,0,IF('[1]program'!E140=AM22,0.5,IF('[1]program'!E141=AM22,0.4,IF('[1]program'!E142=AM22,0.3,IF('[1]program'!E143=AM22,0.2,IF('[1]program'!E144=AM22,0.1,0))))))</f>
        <v>0</v>
      </c>
      <c r="AW22" s="82">
        <f>1000000000*AN22+100000000*AO22+1000000*AP22+10000*AQ22+100*AS22+AT22+AV22</f>
        <v>2999999705</v>
      </c>
      <c r="AX22" s="82">
        <f>10000*AN22+100*AS22+AU22</f>
        <v>29700.625</v>
      </c>
      <c r="AY22" s="82">
        <f>RANK(AX22,AX19:AX23)</f>
        <v>4</v>
      </c>
      <c r="AZ22" s="85"/>
      <c r="BA22" s="82">
        <f>IF(AL22=1,AM22,"")</f>
      </c>
      <c r="BB22" s="82">
        <f>IF(AL22=2,AM22,"")</f>
      </c>
      <c r="BC22" s="82">
        <f>IF(AL22=3,AM22,"")</f>
      </c>
      <c r="BD22" s="82">
        <f>IF(AL22=4,AM22,"")</f>
      </c>
      <c r="BE22" s="82">
        <f>IF(AL22=5,AM22,"")</f>
        <v>0</v>
      </c>
      <c r="BF22" s="85"/>
      <c r="BG22" s="82" t="str">
        <f>IF(COUNTBLANK(BD19:BD23)=5,BH22,"4B")</f>
        <v>4B</v>
      </c>
      <c r="BH22" s="82">
        <f>IF(F15=0,IF(BI22=1,VLOOKUP(4,AL19:AM23,2,0),IF(BI22=2,"los2","4B")),"4B")</f>
        <v>0</v>
      </c>
      <c r="BI22" s="82">
        <f>IF(F16=0,5-COUNTBLANK(BD19:BD23),0)</f>
        <v>1</v>
      </c>
      <c r="BJ22" s="82">
        <f>IF(BI22&gt;1,IF(BD19=AM19,AM19,IF(BD20=AM20,AM20,IF(BD21=AM21,AM21,IF(BD22=AM22,AM22,"")))),"")</f>
      </c>
      <c r="BK22" s="87">
        <f>IF(BI22&lt;2,"",IF(CHOOSE(MATCH(BJ22,BD19:BD24,0)+1,BD19,BD20,BD21,BD22,BD23,BD24)="",IF(CHOOSE(MATCH(BJ22,BD19:BD24,0)+2,BD19,BD20,BD21,BD22,BD23,BD24)="",IF(CHOOSE(MATCH(BJ22,BD19:BD24,0)+3,BD19,BD20,BD21,BD22,BD23,BD24)="",IF(CHOOSE(MATCH(BJ22,BD19:BD24,0)+4,BD19,BD20,BD21,BD22,BD23,BD24)="",CHOOSE(MATCH(BJ22,BD19:BD24,0)+5,BD19,BD20,BD21,BD22,BD23,BD24),CHOOSE(MATCH(BJ22,BD19:BD24,0)+4,BD19,BD20,BD21,BD22,BD23,BD24)),CHOOSE(MATCH(BJ22,BD19:BD24,0)+3,BD19,BD20,BD21,BD22,BD23,BD24)),CHOOSE(MATCH(BJ22,BD19:BD24,0)+2,BD19,BD20,BD21,BD22,BD23,BD24)),CHOOSE(MATCH(BJ22,BD19:BD24,0)+1,BD19,BD20,BD21,BD22,BD23,BD24)))</f>
      </c>
      <c r="BL22" s="87">
        <f>IF(BI22&lt;3,"",IF(CHOOSE(MATCH(BK22,BD19:BD24,0)+1,BD19,BD20,BD21,BD22,BD23,BD24)="",IF(CHOOSE(MATCH(BK22,BD19:BD24,0)+2,BD19,BD20,BD21,BD22,BD23,BD24)="",IF(CHOOSE(MATCH(BK22,BD19:BD24,0)+3,BD19,BD20,BD21,BD22,BD23,BD24)="",IF(CHOOSE(MATCH(BK22,BD19:BD24,0)+4,BD19,BD20,BD21,BD22,BD23,BD24)="",CHOOSE(MATCH(BK22,BD19:BD24,0)+5,BD19,BD20,BD21,BD22,BD23,BD24),CHOOSE(MATCH(BK22,BD19:BD24,0)+4,BD19,BD20,BD21,BD22,BD23,BD24)),CHOOSE(MATCH(BK22,BD19:BD24,0)+3,BD19,BD20,BD21,BD22,BD23,BD24)),CHOOSE(MATCH(BK22,BD19:BD24,0)+2,BD19,BD20,BD21,BD22,BD23,BD24)),CHOOSE(MATCH(BK22,BD19:BD24,0)+1,BD19,BD20,BD21,BD22,BD23,BD24)))</f>
      </c>
      <c r="BM22" s="87"/>
      <c r="BN22" s="87"/>
      <c r="BO22" s="85"/>
    </row>
    <row r="23" spans="2:67" ht="19.5" customHeight="1" thickBot="1">
      <c r="B23" s="106">
        <v>7</v>
      </c>
      <c r="C23" s="108">
        <f>$AA$20</f>
        <v>1</v>
      </c>
      <c r="D23" s="105" t="s">
        <v>1</v>
      </c>
      <c r="E23" s="108">
        <f>$AC$20</f>
        <v>0</v>
      </c>
      <c r="F23" s="108">
        <v>10</v>
      </c>
      <c r="G23" s="103">
        <f t="shared" si="2"/>
        <v>3</v>
      </c>
      <c r="H23" s="104">
        <f t="shared" si="3"/>
        <v>0</v>
      </c>
      <c r="J23" s="160" t="str">
        <f>Týmy!$B$13</f>
        <v>Fénix</v>
      </c>
      <c r="K23" s="174">
        <f>$AC$19</f>
        <v>0</v>
      </c>
      <c r="L23" s="181" t="s">
        <v>1</v>
      </c>
      <c r="M23" s="175">
        <f>$AA$19</f>
        <v>2</v>
      </c>
      <c r="N23" s="168">
        <f>IF(COUNTBLANK(K23:M23)=0,IF(K23&lt;M23,0,IF(K23=M23,1,3)),"")</f>
        <v>0</v>
      </c>
      <c r="O23" s="174">
        <f>$AC$20</f>
        <v>0</v>
      </c>
      <c r="P23" s="181" t="s">
        <v>1</v>
      </c>
      <c r="Q23" s="175">
        <f>$AA$20</f>
        <v>1</v>
      </c>
      <c r="R23" s="168">
        <f>IF(COUNTBLANK(O23:Q23)=0,IF(O23&lt;Q23,0,IF(O23=Q23,1,3)),"")</f>
        <v>0</v>
      </c>
      <c r="S23" s="174">
        <f>$AC$21</f>
        <v>1</v>
      </c>
      <c r="T23" s="181" t="s">
        <v>1</v>
      </c>
      <c r="U23" s="175">
        <f>$AA$21</f>
        <v>0</v>
      </c>
      <c r="V23" s="168">
        <f>IF(COUNTBLANK(S23:U23)=0,IF(S23&lt;U23,0,IF(S23=U23,1,3)),"")</f>
        <v>3</v>
      </c>
      <c r="W23" s="176">
        <f>$AC$22</f>
        <v>0</v>
      </c>
      <c r="X23" s="183" t="s">
        <v>1</v>
      </c>
      <c r="Y23" s="177">
        <f>$AA$22</f>
        <v>4</v>
      </c>
      <c r="Z23" s="169">
        <f>IF(COUNTBLANK(W23:Y23)=0,IF(W23&lt;Y23,0,IF(W23=Y23,1,3)),"")</f>
        <v>0</v>
      </c>
      <c r="AA23" s="232" t="s">
        <v>20</v>
      </c>
      <c r="AB23" s="233"/>
      <c r="AC23" s="234"/>
      <c r="AD23" s="161"/>
      <c r="AE23" s="162">
        <f>SUM(K23,O23,S23,W23)</f>
        <v>1</v>
      </c>
      <c r="AF23" s="170" t="s">
        <v>1</v>
      </c>
      <c r="AG23" s="163">
        <f>SUM(M23,Q23,U23,Y23)</f>
        <v>7</v>
      </c>
      <c r="AH23" s="164">
        <f>SUM(H20+H23+H25+H26)</f>
        <v>3</v>
      </c>
      <c r="AI23" s="165">
        <f>SUM(AE23-AG23)</f>
        <v>-6</v>
      </c>
      <c r="AJ23" s="166">
        <f>IF((F15=20),"",AL23)</f>
        <v>4</v>
      </c>
      <c r="AK23" s="32"/>
      <c r="AL23" s="83">
        <f>RANK(AW23,AW19:AW23)</f>
        <v>4</v>
      </c>
      <c r="AM23" s="82">
        <f>SUM(J23)</f>
        <v>0</v>
      </c>
      <c r="AN23" s="82">
        <f>AH23</f>
        <v>3</v>
      </c>
      <c r="AO23" s="82">
        <f>SUM(IF(AN19=AN23,J23,0),IF(AN20=AN23,N23,0),IF(AN21=AN23,R23,0),IF(AN22=AN23,V23,0))</f>
        <v>3</v>
      </c>
      <c r="AP23" s="82">
        <f>AQ23-AR23</f>
        <v>1</v>
      </c>
      <c r="AQ23" s="82">
        <f>SUM(IF(AN19=AN23,G23,0),IF(AN20=AN23,K23,0),IF(AN21=AN23,O23,0),IF(AN22=AN23,S23,0))</f>
        <v>1</v>
      </c>
      <c r="AR23" s="82">
        <f>SUM(IF(AN19=AN23,I23,0),IF(AN20=AN23,M23,0),IF(AN21=AN23,Q23,0),IF(AN22=AN23,U23,0))</f>
        <v>0</v>
      </c>
      <c r="AS23" s="82">
        <f>AI23</f>
        <v>-6</v>
      </c>
      <c r="AT23" s="82">
        <f>AE23</f>
        <v>1</v>
      </c>
      <c r="AU23" s="82">
        <f>IF(AG23&gt;0,AE23/AG23,IF(AND(AE23&gt;0,AG23=0),90,0))</f>
        <v>0.14285714285714285</v>
      </c>
      <c r="AV23" s="87">
        <f>IF(B17&gt;0,0,IF('[1]program'!E140=AM23,0.5,IF('[1]program'!E141=AM23,0.4,IF('[1]program'!E142=AM23,0.3,IF('[1]program'!E143=AM23,0.2,IF('[1]program'!E144=AM23,0.1,0))))))</f>
        <v>0</v>
      </c>
      <c r="AW23" s="82">
        <f>1000000000*AN23+100000000*AO23+1000000*AP23+10000*AQ23+100*AS23+AT23+AV23</f>
        <v>3301009401</v>
      </c>
      <c r="AX23" s="82">
        <f>10000*AN23+100*AS23+AU23</f>
        <v>29400.14285714286</v>
      </c>
      <c r="AY23" s="82">
        <f>RANK(AX23,AX19:AX23)</f>
        <v>5</v>
      </c>
      <c r="AZ23" s="85"/>
      <c r="BA23" s="82">
        <f>IF(AL23=1,AM23,"")</f>
      </c>
      <c r="BB23" s="82">
        <f>IF(AL23=2,AM23,"")</f>
      </c>
      <c r="BC23" s="82">
        <f>IF(AL23=3,AM23,"")</f>
      </c>
      <c r="BD23" s="82">
        <f>IF(AL23=4,AM23,"")</f>
        <v>0</v>
      </c>
      <c r="BE23" s="82">
        <f>IF(AL23=5,AM23,"")</f>
      </c>
      <c r="BF23" s="85"/>
      <c r="BG23" s="82" t="str">
        <f>IF(COUNTBLANK(BE19:BE23)=5,BH23,"5B")</f>
        <v>5B</v>
      </c>
      <c r="BH23" s="82">
        <f>IF(F15=0,IF(BI23=1,VLOOKUP(5,AL19:AM23,2,0),"5B"),"5B")</f>
        <v>0</v>
      </c>
      <c r="BI23" s="82">
        <f>IF(F16=0,5-COUNTBLANK(BE19:BE23),0)</f>
        <v>1</v>
      </c>
      <c r="BJ23" s="82">
        <f>IF(BI23=2,IF(AL19=5,AM19,IF(AL20=5,AM20,IF(AL21=5,AM21,AM23))),"")</f>
      </c>
      <c r="BK23" s="87">
        <f>IF(BI23&lt;2,"",IF(CHOOSE(MATCH(BJ23,BE19:BE24,0)+1,BE19,BE20,BE21,BE22,BE23,BE24)="",IF(CHOOSE(MATCH(BJ23,BE19:BE24,0)+2,BE19,BE20,BE21,BE22,BE23,BE24)="",IF(CHOOSE(MATCH(BJ23,BE19:BE24,0)+3,BE19,BE20,BE21,BE22,BE23,BE24)="",IF(CHOOSE(MATCH(BJ23,BE19:BE24,0)+4,BE19,BE20,BE21,BE22,BE23,BE24)="",CHOOSE(MATCH(BJ23,BE19:BE24,0)+5,BE19,BE20,BE21,BE22,BE23,BE24),CHOOSE(MATCH(BJ23,BE19:BE24,0)+4,BE19,BE20,BE21,BE22,BE23,BE24)),CHOOSE(MATCH(BJ23,BE19:BE24,0)+3,BE19,BE20,BE21,BE22,BE23,BE24)),CHOOSE(MATCH(BJ23,BE19:BE24,0)+2,BE19,BE20,BE21,BE22,BE23,BE24)),CHOOSE(MATCH(BJ23,BE19:BE24,0)+1,BE19,BE20,BE21,BE22,BE23,BE24)))</f>
      </c>
      <c r="BL23" s="87"/>
      <c r="BM23" s="87"/>
      <c r="BN23" s="87"/>
      <c r="BO23" s="85"/>
    </row>
    <row r="24" spans="2:37" ht="19.5" customHeight="1" hidden="1" thickTop="1">
      <c r="B24" s="106">
        <v>8</v>
      </c>
      <c r="C24" s="108">
        <f>$W$21</f>
        <v>2</v>
      </c>
      <c r="D24" s="105" t="s">
        <v>1</v>
      </c>
      <c r="E24" s="108">
        <f>$Y$21</f>
        <v>1</v>
      </c>
      <c r="F24" s="108">
        <v>9</v>
      </c>
      <c r="G24" s="103">
        <f t="shared" si="2"/>
        <v>3</v>
      </c>
      <c r="H24" s="104">
        <f t="shared" si="3"/>
        <v>0</v>
      </c>
      <c r="AK24" s="32"/>
    </row>
    <row r="25" spans="2:37" ht="19.5" customHeight="1" hidden="1">
      <c r="B25" s="106">
        <v>8</v>
      </c>
      <c r="C25" s="108">
        <f>$AA$21</f>
        <v>0</v>
      </c>
      <c r="D25" s="105" t="s">
        <v>1</v>
      </c>
      <c r="E25" s="108">
        <f>$AC$21</f>
        <v>1</v>
      </c>
      <c r="F25" s="108">
        <v>10</v>
      </c>
      <c r="G25" s="103">
        <f t="shared" si="2"/>
        <v>0</v>
      </c>
      <c r="H25" s="104">
        <f t="shared" si="3"/>
        <v>3</v>
      </c>
      <c r="AK25" s="32"/>
    </row>
    <row r="26" spans="2:37" ht="19.5" customHeight="1" hidden="1" thickBot="1">
      <c r="B26" s="109">
        <v>9</v>
      </c>
      <c r="C26" s="110">
        <f>$AA$22</f>
        <v>4</v>
      </c>
      <c r="D26" s="111" t="s">
        <v>1</v>
      </c>
      <c r="E26" s="110">
        <f>$AC$22</f>
        <v>0</v>
      </c>
      <c r="F26" s="110">
        <v>10</v>
      </c>
      <c r="G26" s="112">
        <f t="shared" si="2"/>
        <v>3</v>
      </c>
      <c r="H26" s="113">
        <f t="shared" si="3"/>
        <v>0</v>
      </c>
      <c r="AK26" s="32"/>
    </row>
    <row r="27" ht="19.5" customHeight="1" hidden="1" thickBot="1" thickTop="1">
      <c r="AK27" s="32"/>
    </row>
    <row r="28" spans="2:37" ht="19.5" customHeight="1" hidden="1" thickTop="1">
      <c r="B28" s="222" t="s">
        <v>76</v>
      </c>
      <c r="C28" s="223"/>
      <c r="D28" s="100"/>
      <c r="E28" s="100"/>
      <c r="F28" s="100">
        <f>COUNTBLANK(C30:E39)</f>
        <v>0</v>
      </c>
      <c r="G28" s="100"/>
      <c r="H28" s="101"/>
      <c r="AK28" s="32"/>
    </row>
    <row r="29" spans="2:37" ht="19.5" customHeight="1" hidden="1">
      <c r="B29" s="102"/>
      <c r="C29" s="103"/>
      <c r="D29" s="103"/>
      <c r="E29" s="103"/>
      <c r="F29" s="103"/>
      <c r="G29" s="103" t="s">
        <v>55</v>
      </c>
      <c r="H29" s="104" t="s">
        <v>56</v>
      </c>
      <c r="AK29" s="32"/>
    </row>
    <row r="30" spans="2:37" ht="19.5" customHeight="1" thickBot="1" thickTop="1">
      <c r="B30" s="102">
        <v>11</v>
      </c>
      <c r="C30" s="103">
        <f>$O$32</f>
        <v>1</v>
      </c>
      <c r="D30" s="105" t="s">
        <v>1</v>
      </c>
      <c r="E30" s="103">
        <f>$Q$32</f>
        <v>1</v>
      </c>
      <c r="F30" s="103">
        <v>12</v>
      </c>
      <c r="G30" s="103">
        <f aca="true" t="shared" si="4" ref="G30:G39">IF(COUNTBLANK(C30:E30)&gt;0,0,IF(C30&gt;E30,3,IF(C30=E30,1,0)))</f>
        <v>1</v>
      </c>
      <c r="H30" s="104">
        <f aca="true" t="shared" si="5" ref="H30:H39">IF(COUNTBLANK(C30:E30)&gt;0,0,IF(C30&lt;E30,3,IF(C30=E30,1,0)))</f>
        <v>1</v>
      </c>
      <c r="AK30" s="32"/>
    </row>
    <row r="31" spans="2:67" ht="19.5" customHeight="1" thickTop="1">
      <c r="B31" s="106">
        <v>11</v>
      </c>
      <c r="C31" s="107">
        <f>$S$32</f>
        <v>2</v>
      </c>
      <c r="D31" s="105" t="s">
        <v>1</v>
      </c>
      <c r="E31" s="108">
        <f>$U$32</f>
        <v>0</v>
      </c>
      <c r="F31" s="108">
        <v>13</v>
      </c>
      <c r="G31" s="103">
        <f t="shared" si="4"/>
        <v>3</v>
      </c>
      <c r="H31" s="104">
        <f t="shared" si="5"/>
        <v>0</v>
      </c>
      <c r="J31" s="149" t="s">
        <v>21</v>
      </c>
      <c r="K31" s="224" t="str">
        <f>Týmy!$B$14</f>
        <v>FCH Most</v>
      </c>
      <c r="L31" s="225"/>
      <c r="M31" s="226"/>
      <c r="N31" s="151"/>
      <c r="O31" s="227" t="str">
        <f>Týmy!$B$15</f>
        <v>GMS - MAKO </v>
      </c>
      <c r="P31" s="228"/>
      <c r="Q31" s="229"/>
      <c r="R31" s="154"/>
      <c r="S31" s="227" t="str">
        <f>Týmy!$B$16</f>
        <v>Los banditos</v>
      </c>
      <c r="T31" s="228"/>
      <c r="U31" s="229"/>
      <c r="V31" s="154"/>
      <c r="W31" s="227" t="str">
        <f>Týmy!$B$17</f>
        <v>Obrnice</v>
      </c>
      <c r="X31" s="228"/>
      <c r="Y31" s="229"/>
      <c r="Z31" s="167"/>
      <c r="AA31" s="227" t="str">
        <f>Týmy!$B$18</f>
        <v>Kopisty</v>
      </c>
      <c r="AB31" s="228"/>
      <c r="AC31" s="229"/>
      <c r="AD31" s="154"/>
      <c r="AE31" s="227" t="s">
        <v>16</v>
      </c>
      <c r="AF31" s="228"/>
      <c r="AG31" s="229"/>
      <c r="AH31" s="155" t="s">
        <v>17</v>
      </c>
      <c r="AI31" s="153"/>
      <c r="AJ31" s="156" t="s">
        <v>18</v>
      </c>
      <c r="AK31" s="32"/>
      <c r="AL31" s="84" t="s">
        <v>58</v>
      </c>
      <c r="AM31" s="85"/>
      <c r="AN31" s="85" t="s">
        <v>44</v>
      </c>
      <c r="AO31" s="85" t="s">
        <v>59</v>
      </c>
      <c r="AP31" s="85" t="s">
        <v>60</v>
      </c>
      <c r="AQ31" s="85" t="s">
        <v>61</v>
      </c>
      <c r="AR31" s="85" t="s">
        <v>62</v>
      </c>
      <c r="AS31" s="85" t="s">
        <v>63</v>
      </c>
      <c r="AT31" s="85" t="s">
        <v>64</v>
      </c>
      <c r="AU31" s="85" t="s">
        <v>65</v>
      </c>
      <c r="AV31" s="85" t="s">
        <v>66</v>
      </c>
      <c r="AW31" s="85" t="s">
        <v>67</v>
      </c>
      <c r="AX31" s="85" t="s">
        <v>68</v>
      </c>
      <c r="AY31" s="85" t="s">
        <v>69</v>
      </c>
      <c r="AZ31" s="85"/>
      <c r="BA31" s="85" t="s">
        <v>70</v>
      </c>
      <c r="BB31" s="85" t="s">
        <v>71</v>
      </c>
      <c r="BC31" s="85" t="s">
        <v>72</v>
      </c>
      <c r="BD31" s="85" t="s">
        <v>73</v>
      </c>
      <c r="BE31" s="85" t="s">
        <v>74</v>
      </c>
      <c r="BF31" s="85"/>
      <c r="BG31" s="85"/>
      <c r="BH31" s="85"/>
      <c r="BI31" s="85"/>
      <c r="BJ31" s="85">
        <v>1</v>
      </c>
      <c r="BK31" s="85">
        <v>2</v>
      </c>
      <c r="BL31" s="85">
        <v>3</v>
      </c>
      <c r="BM31" s="85">
        <v>4</v>
      </c>
      <c r="BN31" s="85">
        <v>5</v>
      </c>
      <c r="BO31" s="85">
        <v>6</v>
      </c>
    </row>
    <row r="32" spans="2:67" ht="19.5" customHeight="1">
      <c r="B32" s="106">
        <v>11</v>
      </c>
      <c r="C32" s="108">
        <f>$W$32</f>
        <v>1</v>
      </c>
      <c r="D32" s="105" t="s">
        <v>1</v>
      </c>
      <c r="E32" s="108">
        <f>$Y$32</f>
        <v>2</v>
      </c>
      <c r="F32" s="108">
        <v>14</v>
      </c>
      <c r="G32" s="103">
        <f t="shared" si="4"/>
        <v>0</v>
      </c>
      <c r="H32" s="104">
        <f t="shared" si="5"/>
        <v>3</v>
      </c>
      <c r="J32" s="157" t="str">
        <f>Týmy!$B$14</f>
        <v>FCH Most</v>
      </c>
      <c r="K32" s="219" t="s">
        <v>21</v>
      </c>
      <c r="L32" s="220"/>
      <c r="M32" s="221"/>
      <c r="N32" s="128"/>
      <c r="O32" s="144">
        <f>IF(ISBLANK(Výsledky!E24),"",Výsledky!E24)</f>
        <v>1</v>
      </c>
      <c r="P32" s="182" t="s">
        <v>1</v>
      </c>
      <c r="Q32" s="81">
        <f>IF(ISBLANK(Výsledky!G24),"",Výsledky!G24)</f>
        <v>1</v>
      </c>
      <c r="R32" s="143">
        <f>IF(COUNTBLANK(O32:Q32)=0,IF(O32&lt;Q32,0,IF(O32=Q32,1,3)),"")</f>
        <v>1</v>
      </c>
      <c r="S32" s="80">
        <f>IF(ISBLANK(Výsledky!E29),"",Výsledky!E29)</f>
        <v>2</v>
      </c>
      <c r="T32" s="180" t="s">
        <v>1</v>
      </c>
      <c r="U32" s="81">
        <f>IF(ISBLANK(Výsledky!G29),"",Výsledky!G29)</f>
        <v>0</v>
      </c>
      <c r="V32" s="90">
        <f>IF(COUNTBLANK(S32:U32)=0,IF(S32&lt;U32,0,IF(S32=U32,1,3)),"")</f>
        <v>3</v>
      </c>
      <c r="W32" s="80">
        <f>IF(ISBLANK(Výsledky!E32),"",Výsledky!E32)</f>
        <v>1</v>
      </c>
      <c r="X32" s="180" t="s">
        <v>1</v>
      </c>
      <c r="Y32" s="81">
        <f>IF(ISBLANK(Výsledky!G32),"",Výsledky!G32)</f>
        <v>2</v>
      </c>
      <c r="Z32" s="90">
        <f>IF(COUNTBLANK(W32:Y32)=0,IF(W32&lt;Y32,0,IF(W32=Y32,1,3)),"")</f>
        <v>0</v>
      </c>
      <c r="AA32" s="80">
        <f>IF(ISBLANK(Výsledky!E26),"",Výsledky!E26)</f>
        <v>3</v>
      </c>
      <c r="AB32" s="180" t="s">
        <v>1</v>
      </c>
      <c r="AC32" s="81">
        <f>IF(ISBLANK(Výsledky!G26),"",Výsledky!G26)</f>
        <v>0</v>
      </c>
      <c r="AD32" s="90">
        <f>IF(COUNTBLANK(AA32:AC32)=0,IF(AA32&lt;AC32,0,IF(AA32=AC32,1,3)),"")</f>
        <v>3</v>
      </c>
      <c r="AE32" s="71">
        <f>SUM(O32,S32,W32,AA32)</f>
        <v>7</v>
      </c>
      <c r="AF32" s="76" t="s">
        <v>1</v>
      </c>
      <c r="AG32" s="73">
        <f>SUM(Q32,U32,Y32,AC32)</f>
        <v>3</v>
      </c>
      <c r="AH32" s="74">
        <f>SUM(G30+G31+G32+G33)</f>
        <v>7</v>
      </c>
      <c r="AI32" s="71">
        <f>SUM(AE32-AG32)</f>
        <v>4</v>
      </c>
      <c r="AJ32" s="89">
        <f>IF((F28=20),"",AL32)</f>
        <v>2</v>
      </c>
      <c r="AK32" s="32"/>
      <c r="AL32" s="83">
        <f>RANK(AW32,AW32:AW36)</f>
        <v>2</v>
      </c>
      <c r="AM32" s="82">
        <f>SUM(J32)</f>
        <v>0</v>
      </c>
      <c r="AN32" s="82">
        <f>AH32</f>
        <v>7</v>
      </c>
      <c r="AO32" s="82">
        <f>SUM(IF(AN33=AN32,N32,0),IF(AN34=AN32,R32,0),IF(AN35=AN32,V32,0),IF(AN36=AN32,Z32,0))</f>
        <v>0</v>
      </c>
      <c r="AP32" s="82">
        <f>AQ32-AR32</f>
        <v>0</v>
      </c>
      <c r="AQ32" s="82">
        <f>SUM(IF(AN33=AN32,K32,0),IF(AN34=AN32,O32,0),IF(AN35=AN32,S32,0),IF(AN36=AN32,W32,0))</f>
        <v>0</v>
      </c>
      <c r="AR32" s="82">
        <f>SUM(IF(AN33=AN32,M32,0),IF(AN34=AN32,Q32,0),IF(AN35=AN32,U32,0),IF(AN36=AN32,Y32,0))</f>
        <v>0</v>
      </c>
      <c r="AS32" s="82">
        <f>AI32</f>
        <v>4</v>
      </c>
      <c r="AT32" s="82">
        <f>AE32</f>
        <v>7</v>
      </c>
      <c r="AU32" s="82">
        <f>IF(AG32&gt;0,AE32/AG32,IF(AND(AE32&gt;0,AG32=0),90,0))</f>
        <v>2.3333333333333335</v>
      </c>
      <c r="AV32" s="87">
        <f>IF(B30&gt;0,0,IF('[1]program'!E153=AM32,0.5,IF('[1]program'!E154=AM32,0.4,IF('[1]program'!E155=AM32,0.3,IF('[1]program'!E156=AM32,0.2,IF('[1]program'!E157=AM32,0.1,0))))))</f>
        <v>0</v>
      </c>
      <c r="AW32" s="82">
        <f>1000000000*AN32+100000000*AO32+1000000*AP32+10000*AQ32+100*AS32+AT32+AV32</f>
        <v>7000000407</v>
      </c>
      <c r="AX32" s="82">
        <f>10000*AN32+100*AS32+AU32</f>
        <v>70402.33333333333</v>
      </c>
      <c r="AY32" s="82">
        <f>RANK(AX32,AX32:AX36)</f>
        <v>2</v>
      </c>
      <c r="AZ32" s="85"/>
      <c r="BA32" s="82">
        <f>IF(AL32=1,AM32,"")</f>
      </c>
      <c r="BB32" s="82">
        <f>IF(AL32=2,AM32,"")</f>
        <v>0</v>
      </c>
      <c r="BC32" s="82">
        <f>IF(AL32=3,AM32,"")</f>
      </c>
      <c r="BD32" s="82">
        <f>IF(AL32=4,AM32,"")</f>
      </c>
      <c r="BE32" s="82">
        <f>IF(AL32=5,AM32,"")</f>
      </c>
      <c r="BF32" s="85"/>
      <c r="BG32" s="82" t="str">
        <f>IF(COUNTBLANK(BA32:BA36)=5,BH32,"1C")</f>
        <v>1C</v>
      </c>
      <c r="BH32" s="82">
        <f>IF(F28=0,IF(BI32=1,VLOOKUP(1,AL32:AM36,2,0),IF(BI32=2,"los2",IF(BI32=3,"los3",IF(BI32=4,"los4",IF(BI32=5,"los5","1C"))))),"1C")</f>
        <v>0</v>
      </c>
      <c r="BI32" s="82">
        <f>IF(F29=0,5-COUNTBLANK(BA32:BA36),0)</f>
        <v>1</v>
      </c>
      <c r="BJ32" s="82">
        <f>IF(BI32&gt;1,IF(BA32=AM32,AM32,IF(BA33=AM33,AM33,IF(BA34=AM34,AM34,IF(BA35=AM35,AM35,"")))),"")</f>
      </c>
      <c r="BK32" s="87">
        <f>IF(BI32&lt;2,"",IF(CHOOSE(MATCH(BJ32,BA32:BA37,0)+1,BA32,BA33,BA34,BA35,BA36,BA37)="",IF(CHOOSE(MATCH(BJ32,BA32:BA37,0)+2,BA32,BA33,BA34,BA35,BA36,BA37)="",IF(CHOOSE(MATCH(BJ32,BA32:BA37,0)+3,BA32,BA33,BA34,BA35,BA36,BA37)="",IF(CHOOSE(MATCH(BJ32,BA32:BA37,0)+4,BA32,BA33,BA34,BA35,BA36,BA37)="",CHOOSE(MATCH(BJ32,BA32:BA37,0)+5,BA32,BA33,BA34,BA35,BA36,BA37),CHOOSE(MATCH(BJ32,BA32:BA37,0)+4,BA32,BA33,BA34,BA35,BA36,BA37)),CHOOSE(MATCH(BJ32,BA32:BA37,0)+3,BA32,BA33,BA34,BA35,BA36,BA37)),CHOOSE(MATCH(BJ32,BA32:BA37,0)+2,BA32,BA33,BA34,BA35,BA36,BA37)),CHOOSE(MATCH(BJ32,BA32:BA37,0)+1,BA32,BA33,BA34,BA35,BA36,BA37)))</f>
      </c>
      <c r="BL32" s="87">
        <f>IF(BI32&lt;3,"",IF(CHOOSE(MATCH(BK32,BA32:BA37,0)+1,BA32,BA33,BA34,BA35,BA36,BA37)="",IF(CHOOSE(MATCH(BK32,BA32:BA37,0)+2,BA32,BA33,BA34,BA35,BA36,BA37)="",IF(CHOOSE(MATCH(BK32,BA32:BA37,0)+3,BA32,BA33,BA34,BA35,BA36,BA37)="",IF(CHOOSE(MATCH(BK32,BA32:BA37,0)+4,BA32,BA33,BA34,BA35,BA36,BA37)="",CHOOSE(MATCH(BK32,BA32:BA37,0)+5,BA32,BA33,BA34,BA35,BA36,BA37),CHOOSE(MATCH(BK32,BA32:BA37,0)+4,BA32,BA33,BA34,BA35,BA36,BA37)),CHOOSE(MATCH(BK32,BA32:BA37,0)+3,BA32,BA33,BA34,BA35,BA36,BA37)),CHOOSE(MATCH(BK32,BA32:BA37,0)+2,BA32,BA33,BA34,BA35,BA36,BA37)),CHOOSE(MATCH(BK32,BA32:BA37,0)+1,BA32,BA33,BA34,BA35,BA36,BA37)))</f>
      </c>
      <c r="BM32" s="87">
        <f>IF(BI32&lt;4,"",IF(CHOOSE(MATCH(BL32,BA32:BA37,0)+1,BA32,BA33,BA34,BA35,BA36,BA37)="",IF(CHOOSE(MATCH(BL32,BA32:BA37,0)+2,BA32,BA33,BA34,BA35,BA36,BA37)="",IF(CHOOSE(MATCH(BL32,BA32:BA37,0)+3,BA32,BA33,BA34,BA35,BA36,BA37)="",IF(CHOOSE(MATCH(BL32,BA32:BA37,0)+4,BA32,BA33,BA34,BA35,BA36,BA37)="",CHOOSE(MATCH(BL32,BA32:BA37,0)+5,BA32,BA33,BA34,BA35,BA36,BA37),CHOOSE(MATCH(BL32,BA32:BA37,0)+4,BA32,BA33,BA34,BA35,BA36,BA37)),CHOOSE(MATCH(BL32,BA32:BA37,0)+3,BA32,BA33,BA34,BA35,BA36,BA37)),CHOOSE(MATCH(BL32,BA32:BA37,0)+2,BA32,BA33,BA34,BA35,BA36,BA37)),CHOOSE(MATCH(BL32,BA32:BA37,0)+1,BA32,BA33,BA34,BA35,BA36,BA37)))</f>
      </c>
      <c r="BN32" s="87">
        <f>IF(BI32&lt;5,"",IF(CHOOSE(MATCH(BM32,BA32:BA37,0)+1,BA32,BA33,BA34,BA35,BA36,BA37)="",IF(CHOOSE(MATCH(BM32,BA32:BA37,0)+2,BA32,BA33,BA34,BA35,BA36,BA37)="",IF(CHOOSE(MATCH(BM32,BA32:BA37,0)+3,BA32,BA33,BA34,BA35,BA36,BA37)="",IF(CHOOSE(MATCH(BM32,BA32:BA37,0)+4,BA32,BA33,BA34,BA35,BA36,BA37)="",CHOOSE(MATCH(BM32,BA32:BA37,0)+5,BA32,BA33,BA34,BA35,BA36,BA37),CHOOSE(MATCH(BM32,BA32:BA37,0)+4,BA32,BA33,BA34,BA35,BA36,BA37)),CHOOSE(MATCH(BM32,BA32:BA37,0)+3,BA32,BA33,BA34,BA35,BA36,BA37)),CHOOSE(MATCH(BM32,BA32:BA37,0)+2,BA32,BA33,BA34,BA35,BA36,BA37)),CHOOSE(MATCH(BM32,BA32:BA37,0)+1,BA32,BA33,BA34,BA35,BA36,BA37)))</f>
      </c>
      <c r="BO32" s="85">
        <f>IF(BI32=6,AM37,"")</f>
      </c>
    </row>
    <row r="33" spans="2:67" ht="19.5" customHeight="1">
      <c r="B33" s="106">
        <v>11</v>
      </c>
      <c r="C33" s="108">
        <f>$AA$32</f>
        <v>3</v>
      </c>
      <c r="D33" s="105" t="s">
        <v>1</v>
      </c>
      <c r="E33" s="108">
        <f>$AC$32</f>
        <v>0</v>
      </c>
      <c r="F33" s="108">
        <v>15</v>
      </c>
      <c r="G33" s="103">
        <f t="shared" si="4"/>
        <v>3</v>
      </c>
      <c r="H33" s="104">
        <f t="shared" si="5"/>
        <v>0</v>
      </c>
      <c r="J33" s="157" t="str">
        <f>Týmy!$B$15</f>
        <v>GMS - MAKO </v>
      </c>
      <c r="K33" s="146">
        <f>$Q$32</f>
        <v>1</v>
      </c>
      <c r="L33" s="179" t="s">
        <v>1</v>
      </c>
      <c r="M33" s="147">
        <f>$O$32</f>
        <v>1</v>
      </c>
      <c r="N33" s="145">
        <f>IF(COUNTBLANK(K33:M33)=0,IF(K33&lt;M33,0,IF(K33=M33,1,3)),"")</f>
        <v>1</v>
      </c>
      <c r="O33" s="219" t="s">
        <v>21</v>
      </c>
      <c r="P33" s="220"/>
      <c r="Q33" s="221"/>
      <c r="R33" s="128"/>
      <c r="S33" s="144">
        <f>IF(ISBLANK(Výsledky!E27),"",Výsledky!E27)</f>
        <v>3</v>
      </c>
      <c r="T33" s="182" t="s">
        <v>1</v>
      </c>
      <c r="U33" s="81">
        <f>IF(ISBLANK(Výsledky!G27),"",Výsledky!G27)</f>
        <v>0</v>
      </c>
      <c r="V33" s="143">
        <f>IF(COUNTBLANK(S33:U33)=0,IF(S33&lt;U33,0,IF(S33=U33,1,3)),"")</f>
        <v>3</v>
      </c>
      <c r="W33" s="80">
        <f>IF(ISBLANK(Výsledky!E30),"",Výsledky!E30)</f>
        <v>2</v>
      </c>
      <c r="X33" s="180" t="s">
        <v>1</v>
      </c>
      <c r="Y33" s="81">
        <f>IF(ISBLANK(Výsledky!G30),"",Výsledky!G30)</f>
        <v>2</v>
      </c>
      <c r="Z33" s="90">
        <f>IF(COUNTBLANK(W33:Y33)=0,IF(W33&lt;Y33,0,IF(W33=Y33,1,3)),"")</f>
        <v>1</v>
      </c>
      <c r="AA33" s="80">
        <f>IF(ISBLANK(Výsledky!E33),"",Výsledky!E33)</f>
        <v>0</v>
      </c>
      <c r="AB33" s="180" t="s">
        <v>1</v>
      </c>
      <c r="AC33" s="81">
        <f>IF(ISBLANK(Výsledky!G33),"",Výsledky!G33)</f>
        <v>0</v>
      </c>
      <c r="AD33" s="90">
        <f>IF(COUNTBLANK(AA33:AC33)=0,IF(AA33&lt;AC33,0,IF(AA33=AC33,1,3)),"")</f>
        <v>1</v>
      </c>
      <c r="AE33" s="71">
        <f>SUM(K33,S33,W33,AA33)</f>
        <v>6</v>
      </c>
      <c r="AF33" s="76" t="s">
        <v>1</v>
      </c>
      <c r="AG33" s="73">
        <f>SUM(M33,U33,Y33,AC33)</f>
        <v>3</v>
      </c>
      <c r="AH33" s="74">
        <f>SUM(H30+G34+G35+H36)</f>
        <v>6</v>
      </c>
      <c r="AI33" s="71">
        <f>SUM(AE33-AG33)</f>
        <v>3</v>
      </c>
      <c r="AJ33" s="89">
        <f>IF((F28=20),"",AL33)</f>
        <v>3</v>
      </c>
      <c r="AK33" s="32"/>
      <c r="AL33" s="83">
        <f>RANK(AW33,AW32:AW36)</f>
        <v>3</v>
      </c>
      <c r="AM33" s="82">
        <f>SUM(J33)</f>
        <v>0</v>
      </c>
      <c r="AN33" s="82">
        <f>AH33</f>
        <v>6</v>
      </c>
      <c r="AO33" s="82">
        <f>SUM(IF(AN32=AN33,J33,0),IF(AN34=AN33,R33,0),IF(AN35=AN33,V33,0),IF(AN36=AN33,Z33,0))</f>
        <v>0</v>
      </c>
      <c r="AP33" s="82">
        <f>AQ33-AR33</f>
        <v>0</v>
      </c>
      <c r="AQ33" s="82">
        <f>SUM(IF(AN32=AN33,G33,0),IF(AN34=AN33,O33,0),IF(AN35=AN33,S33,0),IF(AN36=AN33,W33,0))</f>
        <v>0</v>
      </c>
      <c r="AR33" s="82">
        <f>SUM(IF(AN32=AN33,I33,0),IF(AN34=AN33,Q33,0),IF(AN35=AN33,U33,0),IF(AN36=AN33,Y33,0))</f>
        <v>0</v>
      </c>
      <c r="AS33" s="82">
        <f>AI33</f>
        <v>3</v>
      </c>
      <c r="AT33" s="82">
        <f>AE33</f>
        <v>6</v>
      </c>
      <c r="AU33" s="82">
        <f>IF(AG33&gt;0,AE33/AG33,IF(AND(AE33&gt;0,AG33=0),90,0))</f>
        <v>2</v>
      </c>
      <c r="AV33" s="87">
        <f>IF(B30&gt;0,0,IF('[1]program'!E153=AM33,0.5,IF('[1]program'!E154=AM33,0.4,IF('[1]program'!E155=AM33,0.3,IF('[1]program'!E156=AM33,0.2,IF('[1]program'!E157=AM33,0.1,0))))))</f>
        <v>0</v>
      </c>
      <c r="AW33" s="82">
        <f>1000000000*AN33+100000000*AO33+1000000*AP33+10000*AQ33+100*AS33+AT33+AV33</f>
        <v>6000000306</v>
      </c>
      <c r="AX33" s="82">
        <f>10000*AN33+100*AS33+AU33</f>
        <v>60302</v>
      </c>
      <c r="AY33" s="82">
        <f>RANK(AX33,AX32:AX36)</f>
        <v>3</v>
      </c>
      <c r="AZ33" s="85"/>
      <c r="BA33" s="82">
        <f>IF(AL33=1,AM33,"")</f>
      </c>
      <c r="BB33" s="82">
        <f>IF(AL33=2,AM33,"")</f>
      </c>
      <c r="BC33" s="82">
        <f>IF(AL33=3,AM33,"")</f>
        <v>0</v>
      </c>
      <c r="BD33" s="82">
        <f>IF(AL33=4,AM33,"")</f>
      </c>
      <c r="BE33" s="82">
        <f>IF(AL33=5,AM33,"")</f>
      </c>
      <c r="BF33" s="85"/>
      <c r="BG33" s="82" t="str">
        <f>IF(COUNTBLANK(BB32:BB36)=5,BH33,"2C")</f>
        <v>2C</v>
      </c>
      <c r="BH33" s="82">
        <f>IF(F28=0,IF(BI33=1,VLOOKUP(2,AL32:AM36,2,0),IF(BI33=2,"los2",IF(BI33=3,"los3",IF(BI33=4,"los4","2C")))),"2C")</f>
        <v>0</v>
      </c>
      <c r="BI33" s="82">
        <f>IF(F29=0,5-COUNTBLANK(BB32:BB36),0)</f>
        <v>1</v>
      </c>
      <c r="BJ33" s="82">
        <f>IF(BI33&gt;1,IF(BB32=AM32,AM32,IF(BB33=AM33,AM33,IF(BB34=AM34,AM34,IF(BB35=AM35,AM35,"")))),"")</f>
      </c>
      <c r="BK33" s="87">
        <f>IF(BI33&lt;2,"",IF(CHOOSE(MATCH(BJ33,BB32:BB37,0)+1,BB32,BB33,BB34,BB35,BB36,BB37)="",IF(CHOOSE(MATCH(BJ33,BB32:BB37,0)+2,BB32,BB33,BB34,BB35,BB36,BB37)="",IF(CHOOSE(MATCH(BJ33,BB32:BB37,0)+3,BB32,BB33,BB34,BB35,BB36,BB37)="",IF(CHOOSE(MATCH(BJ33,BB32:BB37,0)+4,BB32,BB33,BB34,BB35,BB36,BB37)="",CHOOSE(MATCH(BJ33,BB32:BB37,0)+5,BB32,BB33,BB34,BB35,BB36,BB37),CHOOSE(MATCH(BJ33,BB32:BB37,0)+4,BB32,BB33,BB34,BB35,BB36,BB37)),CHOOSE(MATCH(BJ33,BB32:BB37,0)+3,BB32,BB33,BB34,BB35,BB36,BB37)),CHOOSE(MATCH(BJ33,BB32:BB37,0)+2,BB32,BB33,BB34,BB35,BB36,BB37)),CHOOSE(MATCH(BJ33,BB32:BB37,0)+1,BB32,BB33,BB34,BB35,BB36,BB37)))</f>
      </c>
      <c r="BL33" s="87">
        <f>IF(BI33&lt;3,"",IF(CHOOSE(MATCH(BK33,BB32:BB37,0)+1,BB32,BB33,BB34,BB35,BB36,BB37)="",IF(CHOOSE(MATCH(BK33,BB32:BB37,0)+2,BB32,BB33,BB34,BB35,BB36,BB37)="",IF(CHOOSE(MATCH(BK33,BB32:BB37,0)+3,BB32,BB33,BB34,BB35,BB36,BB37)="",IF(CHOOSE(MATCH(BK33,BB32:BB37,0)+4,BB32,BB33,BB34,BB35,BB36,BB37)="",CHOOSE(MATCH(BK33,BB32:BB37,0)+5,BB32,BB33,BB34,BB35,BB36,BB37),CHOOSE(MATCH(BK33,BB32:BB37,0)+4,BB32,BB33,BB34,BB35,BB36,BB37)),CHOOSE(MATCH(BK33,BB32:BB37,0)+3,BB32,BB33,BB34,BB35,BB36,BB37)),CHOOSE(MATCH(BK33,BB32:BB37,0)+2,BB32,BB33,BB34,BB35,BB36,BB37)),CHOOSE(MATCH(BK33,BB32:BB37,0)+1,BB32,BB33,BB34,BB35,BB36,BB37)))</f>
      </c>
      <c r="BM33" s="87">
        <f>IF(BI33&lt;4,"",IF(CHOOSE(MATCH(BL33,BB32:BB37,0)+1,BB32,BB33,BB34,BB35,BB36,BB37)="",IF(CHOOSE(MATCH(BL33,BB32:BB37,0)+2,BB32,BB33,BB34,BB35,BB36,BB37)="",IF(CHOOSE(MATCH(BL33,BB32:BB37,0)+3,BB32,BB33,BB34,BB35,BB36,BB37)="",IF(CHOOSE(MATCH(BL33,BB32:BB37,0)+4,BB32,BB33,BB34,BB35,BB36,BB37)="",CHOOSE(MATCH(BL33,BB32:BB37,0)+5,BB32,BB33,BB34,BB35,BB36,BB37),CHOOSE(MATCH(BL33,BB32:BB37,0)+4,BB32,BB33,BB34,BB35,BB36,BB37)),CHOOSE(MATCH(BL33,BB32:BB37,0)+3,BB32,BB33,BB34,BB35,BB36,BB37)),CHOOSE(MATCH(BL33,BB32:BB37,0)+2,BB32,BB33,BB34,BB35,BB36,BB37)),CHOOSE(MATCH(BL33,BB32:BB37,0)+1,BB32,BB33,BB34,BB35,BB36,BB37)))</f>
      </c>
      <c r="BN33" s="87">
        <f>IF(BI33&lt;5,"",IF(CHOOSE(MATCH(BM33,BB32:BB37,0)+1,BB32,BB33,BB34,BB35,BB36,BB37)="",IF(CHOOSE(MATCH(BM33,BB32:BB37,0)+2,BB32,BB33,BB34,BB35,BB36,BB37)="",IF(CHOOSE(MATCH(BM33,BB32:BB37,0)+3,BB32,BB33,BB34,BB35,BB36,BB37)="",IF(CHOOSE(MATCH(BM33,BB32:BB37,0)+4,BB32,BB33,BB34,BB35,BB36,BB37)="",CHOOSE(MATCH(BM33,BB32:BB37,0)+5,BB32,BB33,BB34,BB35,BB36,BB37),CHOOSE(MATCH(BM33,BB32:BB37,0)+4,BB32,BB33,BB34,BB35,BB36,BB37)),CHOOSE(MATCH(BM33,BB32:BB37,0)+3,BB32,BB33,BB34,BB35,BB36,BB37)),CHOOSE(MATCH(BM33,BB32:BB37,0)+2,BB32,BB33,BB34,BB35,BB36,BB37)),CHOOSE(MATCH(BM33,BB32:BB37,0)+1,BB32,BB33,BB34,BB35,BB36,BB37)))</f>
      </c>
      <c r="BO33" s="85"/>
    </row>
    <row r="34" spans="2:67" ht="19.5" customHeight="1">
      <c r="B34" s="106">
        <v>12</v>
      </c>
      <c r="C34" s="108">
        <f>$S$33</f>
        <v>3</v>
      </c>
      <c r="D34" s="105" t="s">
        <v>1</v>
      </c>
      <c r="E34" s="108">
        <f>$U$33</f>
        <v>0</v>
      </c>
      <c r="F34" s="108">
        <v>13</v>
      </c>
      <c r="G34" s="103">
        <f t="shared" si="4"/>
        <v>3</v>
      </c>
      <c r="H34" s="104">
        <f t="shared" si="5"/>
        <v>0</v>
      </c>
      <c r="J34" s="158" t="str">
        <f>Týmy!$B$16</f>
        <v>Los banditos</v>
      </c>
      <c r="K34" s="78">
        <f>$U$32</f>
        <v>0</v>
      </c>
      <c r="L34" s="180" t="s">
        <v>1</v>
      </c>
      <c r="M34" s="79">
        <f>$S$32</f>
        <v>2</v>
      </c>
      <c r="N34" s="90">
        <f>IF(COUNTBLANK(K34:M34)=0,IF(K34&lt;M34,0,IF(K34=M34,1,3)),"")</f>
        <v>0</v>
      </c>
      <c r="O34" s="146">
        <f>$U$33</f>
        <v>0</v>
      </c>
      <c r="P34" s="179" t="s">
        <v>1</v>
      </c>
      <c r="Q34" s="147">
        <f>$S$33</f>
        <v>3</v>
      </c>
      <c r="R34" s="145">
        <f>IF(COUNTBLANK(O34:Q34)=0,IF(O34&lt;Q34,0,IF(O34=Q34,1,3)),"")</f>
        <v>0</v>
      </c>
      <c r="S34" s="219" t="s">
        <v>21</v>
      </c>
      <c r="T34" s="220"/>
      <c r="U34" s="221"/>
      <c r="V34" s="128"/>
      <c r="W34" s="144">
        <f>IF(ISBLANK(Výsledky!E25),"",Výsledky!E25)</f>
        <v>0</v>
      </c>
      <c r="X34" s="182" t="s">
        <v>1</v>
      </c>
      <c r="Y34" s="81">
        <f>IF(ISBLANK(Výsledky!G25),"",Výsledky!G25)</f>
        <v>1</v>
      </c>
      <c r="Z34" s="143">
        <f>IF(COUNTBLANK(W34:Y34)=0,IF(W34&lt;Y34,0,IF(W34=Y34,1,3)),"")</f>
        <v>0</v>
      </c>
      <c r="AA34" s="80">
        <f>IF(ISBLANK(Výsledky!E31),"",Výsledky!E31)</f>
        <v>1</v>
      </c>
      <c r="AB34" s="180" t="s">
        <v>1</v>
      </c>
      <c r="AC34" s="81">
        <f>IF(ISBLANK(Výsledky!G31),"",Výsledky!G31)</f>
        <v>1</v>
      </c>
      <c r="AD34" s="90">
        <f>IF(COUNTBLANK(AA34:AC34)=0,IF(AA34&lt;AC34,0,IF(AA34=AC34,1,3)),"")</f>
        <v>1</v>
      </c>
      <c r="AE34" s="71">
        <f>SUM(K34,O34,W34,AA34)</f>
        <v>1</v>
      </c>
      <c r="AF34" s="76" t="s">
        <v>1</v>
      </c>
      <c r="AG34" s="73">
        <f>SUM(M34,Q34,Y34,AC34)</f>
        <v>7</v>
      </c>
      <c r="AH34" s="74">
        <f>SUM(G37+G38+H31+H34)</f>
        <v>1</v>
      </c>
      <c r="AI34" s="71">
        <f>SUM(AE34-AG34)</f>
        <v>-6</v>
      </c>
      <c r="AJ34" s="89">
        <f>IF((F28=20),"",AL34)</f>
        <v>5</v>
      </c>
      <c r="AK34" s="32"/>
      <c r="AL34" s="83">
        <f>RANK(AW34,AW32:AW36)</f>
        <v>5</v>
      </c>
      <c r="AM34" s="82">
        <f>SUM(J34)</f>
        <v>0</v>
      </c>
      <c r="AN34" s="82">
        <f>AH34</f>
        <v>1</v>
      </c>
      <c r="AO34" s="82">
        <f>SUM(IF(AN32=AN34,J34,0),IF(AN33=AN34,N34,0),IF(AN35=AN34,V34,0),IF(AN36=AN34,Z34,0))</f>
        <v>0</v>
      </c>
      <c r="AP34" s="82">
        <f>AQ34-AR34</f>
        <v>0</v>
      </c>
      <c r="AQ34" s="82">
        <f>SUM(IF(AN32=AN34,G34,0),IF(AN33=AN34,K34,0),IF(AN35=AN34,S34,0),IF(AN36=AN34,W34,0))</f>
        <v>0</v>
      </c>
      <c r="AR34" s="82">
        <f>SUM(IF(AN32=AN34,I34,0),IF(AN33=AN34,M34,0),IF(AN35=AN34,U34,0),IF(AN36=AN34,Y34,0))</f>
        <v>0</v>
      </c>
      <c r="AS34" s="82">
        <f>AI34</f>
        <v>-6</v>
      </c>
      <c r="AT34" s="82">
        <f>AE34</f>
        <v>1</v>
      </c>
      <c r="AU34" s="82">
        <f>IF(AG34&gt;0,AE34/AG34,IF(AND(AE34&gt;0,AG34=0),90,0))</f>
        <v>0.14285714285714285</v>
      </c>
      <c r="AV34" s="87">
        <f>IF(B30&gt;0,0,IF('[1]program'!E153=AM34,0.5,IF('[1]program'!E154=AM34,0.4,IF('[1]program'!E155=AM34,0.3,IF('[1]program'!E156=AM34,0.2,IF('[1]program'!E157=AM34,0.1,0))))))</f>
        <v>0</v>
      </c>
      <c r="AW34" s="82">
        <f>1000000000*AN34+100000000*AO34+1000000*AP34+10000*AQ34+100*AS34+AT34+AV34</f>
        <v>999999401</v>
      </c>
      <c r="AX34" s="82">
        <f>10000*AN34+100*AS34+AU34</f>
        <v>9400.142857142857</v>
      </c>
      <c r="AY34" s="82">
        <f>RANK(AX34,AX32:AX36)</f>
        <v>5</v>
      </c>
      <c r="AZ34" s="85"/>
      <c r="BA34" s="82">
        <f>IF(AL34=1,AM34,"")</f>
      </c>
      <c r="BB34" s="82">
        <f>IF(AL34=2,AM34,"")</f>
      </c>
      <c r="BC34" s="82">
        <f>IF(AL34=3,AM34,"")</f>
      </c>
      <c r="BD34" s="82">
        <f>IF(AL34=4,AM34,"")</f>
      </c>
      <c r="BE34" s="82">
        <f>IF(AL34=5,AM34,"")</f>
        <v>0</v>
      </c>
      <c r="BF34" s="85"/>
      <c r="BG34" s="82" t="str">
        <f>IF(COUNTBLANK(BB32:BB36)=5,BH34,"3C")</f>
        <v>3C</v>
      </c>
      <c r="BH34" s="82">
        <f>IF(F28=0,IF(BI34=1,VLOOKUP(3,AL32:AM36,2,0),IF(BI34=2,"los2",IF(BI34=3,"los3","3C"))),"3C")</f>
        <v>0</v>
      </c>
      <c r="BI34" s="82">
        <f>IF(F29=0,5-COUNTBLANK(BC32:BC36),0)</f>
        <v>1</v>
      </c>
      <c r="BJ34" s="82">
        <f>IF(BI34&gt;1,IF(BC32=AM32,AM32,IF(BC33=AM33,AM33,IF(BC34=AM34,AM34,IF(BC35=AM35,AM35,"")))),"")</f>
      </c>
      <c r="BK34" s="87">
        <f>IF(BI34&lt;2,"",IF(CHOOSE(MATCH(BJ34,BC32:BC37,0)+1,BC32,BC33,BC34,BC35,BC36,BC37)="",IF(CHOOSE(MATCH(BJ34,BC32:BC37,0)+2,BC32,BC33,BC34,BC35,BC36,BC37)="",IF(CHOOSE(MATCH(BJ34,BC32:BC37,0)+3,BC32,BC33,BC34,BC35,BC36,BC37)="",IF(CHOOSE(MATCH(BJ34,BC32:BC37,0)+4,BC32,BC33,BC34,BC35,BC36,BC37)="",CHOOSE(MATCH(BJ34,BC32:BC37,0)+5,BC32,BC33,BC34,BC35,BC36,BC37),CHOOSE(MATCH(BJ34,BC32:BC37,0)+4,BC32,BC33,BC34,BC35,BC36,BC37)),CHOOSE(MATCH(BJ34,BC32:BC37,0)+3,BC32,BC33,BC34,BC35,BC36,BC37)),CHOOSE(MATCH(BJ34,BC32:BC37,0)+2,BC32,BC33,BC34,BC35,BC36,BC37)),CHOOSE(MATCH(BJ34,BC32:BC37,0)+1,BC32,BC33,BC34,BC35,BC36,BC37)))</f>
      </c>
      <c r="BL34" s="87">
        <f>IF(BI34&lt;3,"",IF(CHOOSE(MATCH(BK34,BC32:BC37,0)+1,BC32,BC33,BC34,BC35,BC36,BC37)="",IF(CHOOSE(MATCH(BK34,BC32:BC124,0)+2,BC32,BC33,BC34,BC35,BC36,BC37)="",IF(CHOOSE(MATCH(BK34,BC32:BC37,0)+3,BC32,BC33,BC34,BC35,BC36,BC37)="",IF(CHOOSE(MATCH(BK34,BC32:BC37,0)+4,BC32,BC33,BC34,BC35,BC36,BC37)="",CHOOSE(MATCH(BK34,BC32:BC37,0)+5,BC32,BC33,BC34,BC35,BC36,BC37),CHOOSE(MATCH(BK34,BC32:BC37,0)+4,BC32,BC33,BC34,BC35,BC36,BC37)),CHOOSE(MATCH(BK34,BC32:BC37,0)+3,BC32,BC33,BC34,BC35,BC36,BC37)),CHOOSE(MATCH(BK34,BC32:BC37,0)+2,BC32,BC33,BC34,BC35,BC36,BC37)),CHOOSE(MATCH(BK34,BC32:BC37,0)+1,BC32,BC33,BC34,BC35,BC36,BC37)))</f>
      </c>
      <c r="BM34" s="87">
        <f>IF(BI34&lt;4,"",IF(CHOOSE(MATCH(BL34,BC32:BC37,0)+1,BC32,BC33,BC34,BC35,BC36,BC37)="",IF(CHOOSE(MATCH(BL34,BC32:BC124,0)+2,BC32,BC33,BC34,BC35,BC36,BC37)="",IF(CHOOSE(MATCH(BL34,BC32:BC37,0)+3,BC32,BC33,BC34,BC35,BC36,BC37)="",IF(CHOOSE(MATCH(BL34,BC32:BC37,0)+4,BC32,BC33,BC34,BC35,BC36,BC37)="",CHOOSE(MATCH(BL34,BC32:BC37,0)+5,BC32,BC33,BC34,BC35,BC36,BC37),CHOOSE(MATCH(BL34,BC32:BC37,0)+4,BC32,BC33,BC34,BC35,BC36,BC37)),CHOOSE(MATCH(BL34,BC32:BC37,0)+3,BC32,BC33,BC34,BC35,BC36,BC37)),CHOOSE(MATCH(BL34,BC32:BC37,0)+2,BC32,BC33,BC34,BC35,BC36,BC37)),CHOOSE(MATCH(BL34,BC32:BC37,0)+1,BC32,BC33,BC34,BC35,BC36,BC37)))</f>
      </c>
      <c r="BN34" s="87"/>
      <c r="BO34" s="85"/>
    </row>
    <row r="35" spans="2:67" ht="19.5" customHeight="1">
      <c r="B35" s="106">
        <v>12</v>
      </c>
      <c r="C35" s="108">
        <f>$W$33</f>
        <v>2</v>
      </c>
      <c r="D35" s="105" t="s">
        <v>1</v>
      </c>
      <c r="E35" s="108">
        <f>$Y$33</f>
        <v>2</v>
      </c>
      <c r="F35" s="108">
        <v>14</v>
      </c>
      <c r="G35" s="103">
        <f t="shared" si="4"/>
        <v>1</v>
      </c>
      <c r="H35" s="104">
        <f t="shared" si="5"/>
        <v>1</v>
      </c>
      <c r="J35" s="159" t="str">
        <f>Týmy!$B$17</f>
        <v>Obrnice</v>
      </c>
      <c r="K35" s="80">
        <f>$Y$32</f>
        <v>2</v>
      </c>
      <c r="L35" s="182" t="s">
        <v>1</v>
      </c>
      <c r="M35" s="81">
        <f>$W$32</f>
        <v>1</v>
      </c>
      <c r="N35" s="90">
        <f>IF(COUNTBLANK(K35:M35)=0,IF(K35&lt;M35,0,IF(K35=M35,1,3)),"")</f>
        <v>3</v>
      </c>
      <c r="O35" s="80">
        <f>$Y$33</f>
        <v>2</v>
      </c>
      <c r="P35" s="182" t="s">
        <v>1</v>
      </c>
      <c r="Q35" s="81">
        <f>$W$33</f>
        <v>2</v>
      </c>
      <c r="R35" s="90">
        <f>IF(COUNTBLANK(O35:Q35)=0,IF(O35&lt;Q35,0,IF(O35=Q35,1,3)),"")</f>
        <v>1</v>
      </c>
      <c r="S35" s="184">
        <f>$Y$34</f>
        <v>1</v>
      </c>
      <c r="T35" s="185" t="s">
        <v>1</v>
      </c>
      <c r="U35" s="186">
        <f>$W$34</f>
        <v>0</v>
      </c>
      <c r="V35" s="145">
        <f>IF(COUNTBLANK(S35:U35)=0,IF(S35&lt;U35,0,IF(S35=U35,1,3)),"")</f>
        <v>3</v>
      </c>
      <c r="W35" s="219" t="s">
        <v>21</v>
      </c>
      <c r="X35" s="220"/>
      <c r="Y35" s="221"/>
      <c r="Z35" s="148"/>
      <c r="AA35" s="144">
        <f>IF(ISBLANK(Výsledky!E28),"",Výsledky!E28)</f>
        <v>2</v>
      </c>
      <c r="AB35" s="182" t="s">
        <v>1</v>
      </c>
      <c r="AC35" s="81">
        <f>IF(ISBLANK(Výsledky!G28),"",Výsledky!G28)</f>
        <v>1</v>
      </c>
      <c r="AD35" s="143">
        <f>IF(COUNTBLANK(AA35:AC35)=0,IF(AA35&lt;AC35,0,IF(AA35=AC35,1,3)),"")</f>
        <v>3</v>
      </c>
      <c r="AE35" s="71">
        <f>SUM(K35,O35,S35,AA35)</f>
        <v>7</v>
      </c>
      <c r="AF35" s="77" t="s">
        <v>1</v>
      </c>
      <c r="AG35" s="73">
        <f>SUM(M35,Q35,U35,AC35)</f>
        <v>4</v>
      </c>
      <c r="AH35" s="74">
        <f>SUM(G39+H32+H35+H37)</f>
        <v>10</v>
      </c>
      <c r="AI35" s="71">
        <f>SUM(AE35-AG35)</f>
        <v>3</v>
      </c>
      <c r="AJ35" s="89">
        <f>IF((F28=20),"",AL35)</f>
        <v>1</v>
      </c>
      <c r="AK35" s="32"/>
      <c r="AL35" s="83">
        <f>RANK(AW35,AW32:AW36)</f>
        <v>1</v>
      </c>
      <c r="AM35" s="82">
        <f>SUM(J35)</f>
        <v>0</v>
      </c>
      <c r="AN35" s="82">
        <f>AH35</f>
        <v>10</v>
      </c>
      <c r="AO35" s="82">
        <f>SUM(IF(AN32=AN35,J35,0),IF(AN33=AN35,N35,0),IF(AN34=AN35,R35,0),IF(AN36=AN35,Z35,0))</f>
        <v>0</v>
      </c>
      <c r="AP35" s="82">
        <f>AQ35-AR35</f>
        <v>0</v>
      </c>
      <c r="AQ35" s="82">
        <f>SUM(IF(AN32=AN35,G35,0),IF(AN33=AN35,K35,0),IF(AN34=AN35,O35,0),IF(AN36=AN35,W35,0))</f>
        <v>0</v>
      </c>
      <c r="AR35" s="82">
        <f>SUM(IF(AN32=AN35,I35,0),IF(AN33=AN35,M35,0),IF(AN34=AN35,Q35,0),IF(AN36=AN35,Y35,0))</f>
        <v>0</v>
      </c>
      <c r="AS35" s="82">
        <f>AI35</f>
        <v>3</v>
      </c>
      <c r="AT35" s="82">
        <f>AE35</f>
        <v>7</v>
      </c>
      <c r="AU35" s="82">
        <f>IF(AG35&gt;0,AE35/AG35,IF(AND(AE35&gt;0,AG35=0),90,0))</f>
        <v>1.75</v>
      </c>
      <c r="AV35" s="87">
        <f>IF(B30&gt;0,0,IF('[1]program'!E153=AM35,0.5,IF('[1]program'!E154=AM35,0.4,IF('[1]program'!E155=AM35,0.3,IF('[1]program'!E156=AM35,0.2,IF('[1]program'!E157=AM35,0.1,0))))))</f>
        <v>0</v>
      </c>
      <c r="AW35" s="82">
        <f>1000000000*AN35+100000000*AO35+1000000*AP35+10000*AQ35+100*AS35+AT35+AV35</f>
        <v>10000000307</v>
      </c>
      <c r="AX35" s="82">
        <f>10000*AN35+100*AS35+AU35</f>
        <v>100301.75</v>
      </c>
      <c r="AY35" s="82">
        <f>RANK(AX35,AX32:AX36)</f>
        <v>1</v>
      </c>
      <c r="AZ35" s="85"/>
      <c r="BA35" s="82">
        <f>IF(AL35=1,AM35,"")</f>
        <v>0</v>
      </c>
      <c r="BB35" s="82">
        <f>IF(AL35=2,AM35,"")</f>
      </c>
      <c r="BC35" s="82">
        <f>IF(AL35=3,AM35,"")</f>
      </c>
      <c r="BD35" s="82">
        <f>IF(AL35=4,AM35,"")</f>
      </c>
      <c r="BE35" s="82">
        <f>IF(AL35=5,AM35,"")</f>
      </c>
      <c r="BF35" s="85"/>
      <c r="BG35" s="82" t="str">
        <f>IF(COUNTBLANK(BD32:BD36)=5,BH35,"4C")</f>
        <v>4C</v>
      </c>
      <c r="BH35" s="82">
        <f>IF(F28=0,IF(BI35=1,VLOOKUP(4,AL32:AM36,2,0),IF(BI35=2,"los2","4C")),"4C")</f>
        <v>0</v>
      </c>
      <c r="BI35" s="82">
        <f>IF(F29=0,5-COUNTBLANK(BD32:BD36),0)</f>
        <v>1</v>
      </c>
      <c r="BJ35" s="82">
        <f>IF(BI35&gt;1,IF(BD32=AM32,AM32,IF(BD33=AM33,AM33,IF(BD34=AM34,AM34,IF(BD35=AM35,AM35,"")))),"")</f>
      </c>
      <c r="BK35" s="87">
        <f>IF(BI35&lt;2,"",IF(CHOOSE(MATCH(BJ35,BD32:BD37,0)+1,BD32,BD33,BD34,BD35,BD36,BD37)="",IF(CHOOSE(MATCH(BJ35,BD32:BD37,0)+2,BD32,BD33,BD34,BD35,BD36,BD37)="",IF(CHOOSE(MATCH(BJ35,BD32:BD37,0)+3,BD32,BD33,BD34,BD35,BD36,BD37)="",IF(CHOOSE(MATCH(BJ35,BD32:BD37,0)+4,BD32,BD33,BD34,BD35,BD36,BD37)="",CHOOSE(MATCH(BJ35,BD32:BD37,0)+5,BD32,BD33,BD34,BD35,BD36,BD37),CHOOSE(MATCH(BJ35,BD32:BD37,0)+4,BD32,BD33,BD34,BD35,BD36,BD37)),CHOOSE(MATCH(BJ35,BD32:BD37,0)+3,BD32,BD33,BD34,BD35,BD36,BD37)),CHOOSE(MATCH(BJ35,BD32:BD37,0)+2,BD32,BD33,BD34,BD35,BD36,BD37)),CHOOSE(MATCH(BJ35,BD32:BD37,0)+1,BD32,BD33,BD34,BD35,BD36,BD37)))</f>
      </c>
      <c r="BL35" s="87">
        <f>IF(BI35&lt;3,"",IF(CHOOSE(MATCH(BK35,BD32:BD37,0)+1,BD32,BD33,BD34,BD35,BD36,BD37)="",IF(CHOOSE(MATCH(BK35,BD32:BD37,0)+2,BD32,BD33,BD34,BD35,BD36,BD37)="",IF(CHOOSE(MATCH(BK35,BD32:BD37,0)+3,BD32,BD33,BD34,BD35,BD36,BD37)="",IF(CHOOSE(MATCH(BK35,BD32:BD37,0)+4,BD32,BD33,BD34,BD35,BD36,BD37)="",CHOOSE(MATCH(BK35,BD32:BD37,0)+5,BD32,BD33,BD34,BD35,BD36,BD37),CHOOSE(MATCH(BK35,BD32:BD37,0)+4,BD32,BD33,BD34,BD35,BD36,BD37)),CHOOSE(MATCH(BK35,BD32:BD37,0)+3,BD32,BD33,BD34,BD35,BD36,BD37)),CHOOSE(MATCH(BK35,BD32:BD37,0)+2,BD32,BD33,BD34,BD35,BD36,BD37)),CHOOSE(MATCH(BK35,BD32:BD37,0)+1,BD32,BD33,BD34,BD35,BD36,BD37)))</f>
      </c>
      <c r="BM35" s="87"/>
      <c r="BN35" s="87"/>
      <c r="BO35" s="85"/>
    </row>
    <row r="36" spans="2:67" ht="19.5" customHeight="1" thickBot="1">
      <c r="B36" s="106">
        <v>12</v>
      </c>
      <c r="C36" s="108">
        <f>$AA$33</f>
        <v>0</v>
      </c>
      <c r="D36" s="105" t="s">
        <v>1</v>
      </c>
      <c r="E36" s="108">
        <f>$AC$33</f>
        <v>0</v>
      </c>
      <c r="F36" s="108">
        <v>15</v>
      </c>
      <c r="G36" s="103">
        <f t="shared" si="4"/>
        <v>1</v>
      </c>
      <c r="H36" s="104">
        <f t="shared" si="5"/>
        <v>1</v>
      </c>
      <c r="J36" s="160" t="str">
        <f>Týmy!$B$18</f>
        <v>Kopisty</v>
      </c>
      <c r="K36" s="174">
        <f>$AC$32</f>
        <v>0</v>
      </c>
      <c r="L36" s="181" t="s">
        <v>1</v>
      </c>
      <c r="M36" s="175">
        <f>$AA$32</f>
        <v>3</v>
      </c>
      <c r="N36" s="168">
        <f>IF(COUNTBLANK(K36:M36)=0,IF(K36&lt;M36,0,IF(K36=M36,1,3)),"")</f>
        <v>0</v>
      </c>
      <c r="O36" s="174">
        <f>$AC$33</f>
        <v>0</v>
      </c>
      <c r="P36" s="181" t="s">
        <v>1</v>
      </c>
      <c r="Q36" s="175">
        <f>$AA$33</f>
        <v>0</v>
      </c>
      <c r="R36" s="168">
        <f>IF(COUNTBLANK(O36:Q36)=0,IF(O36&lt;Q36,0,IF(O36=Q36,1,3)),"")</f>
        <v>1</v>
      </c>
      <c r="S36" s="174">
        <f>$AC$34</f>
        <v>1</v>
      </c>
      <c r="T36" s="181" t="s">
        <v>1</v>
      </c>
      <c r="U36" s="175">
        <f>$AA$34</f>
        <v>1</v>
      </c>
      <c r="V36" s="168">
        <f>IF(COUNTBLANK(S36:U36)=0,IF(S36&lt;U36,0,IF(S36=U36,1,3)),"")</f>
        <v>1</v>
      </c>
      <c r="W36" s="176">
        <f>$AC$35</f>
        <v>1</v>
      </c>
      <c r="X36" s="183" t="s">
        <v>1</v>
      </c>
      <c r="Y36" s="177">
        <f>$AA$35</f>
        <v>2</v>
      </c>
      <c r="Z36" s="169">
        <f>IF(COUNTBLANK(W36:Y36)=0,IF(W36&lt;Y36,0,IF(W36=Y36,1,3)),"")</f>
        <v>0</v>
      </c>
      <c r="AA36" s="232" t="s">
        <v>21</v>
      </c>
      <c r="AB36" s="235"/>
      <c r="AC36" s="236"/>
      <c r="AD36" s="161"/>
      <c r="AE36" s="162">
        <f>SUM(K36,O36,S36,W36)</f>
        <v>2</v>
      </c>
      <c r="AF36" s="162" t="s">
        <v>1</v>
      </c>
      <c r="AG36" s="163">
        <f>SUM(M36,Q36,U36,Y36)</f>
        <v>6</v>
      </c>
      <c r="AH36" s="164">
        <f>SUM(H33+H36+H38+H39)</f>
        <v>2</v>
      </c>
      <c r="AI36" s="165">
        <f>SUM(AE36-AG36)</f>
        <v>-4</v>
      </c>
      <c r="AJ36" s="166">
        <f>IF((F28=20),"",AL36)</f>
        <v>4</v>
      </c>
      <c r="AK36" s="32"/>
      <c r="AL36" s="83">
        <f>RANK(AW36,AW32:AW36)</f>
        <v>4</v>
      </c>
      <c r="AM36" s="82">
        <f>SUM(J36)</f>
        <v>0</v>
      </c>
      <c r="AN36" s="82">
        <f>AH36</f>
        <v>2</v>
      </c>
      <c r="AO36" s="82">
        <f>SUM(IF(AN32=AN36,J36,0),IF(AN33=AN36,N36,0),IF(AN34=AN36,R36,0),IF(AN35=AN36,V36,0))</f>
        <v>0</v>
      </c>
      <c r="AP36" s="82">
        <f>AQ36-AR36</f>
        <v>0</v>
      </c>
      <c r="AQ36" s="82">
        <f>SUM(IF(AN32=AN36,G36,0),IF(AN33=AN36,K36,0),IF(AN34=AN36,O36,0),IF(AN35=AN36,S36,0))</f>
        <v>0</v>
      </c>
      <c r="AR36" s="82">
        <f>SUM(IF(AN32=AN36,I36,0),IF(AN33=AN36,M36,0),IF(AN34=AN36,Q36,0),IF(AN35=AN36,U36,0))</f>
        <v>0</v>
      </c>
      <c r="AS36" s="82">
        <f>AI36</f>
        <v>-4</v>
      </c>
      <c r="AT36" s="82">
        <f>AE36</f>
        <v>2</v>
      </c>
      <c r="AU36" s="82">
        <f>IF(AG36&gt;0,AE36/AG36,IF(AND(AE36&gt;0,AG36=0),90,0))</f>
        <v>0.3333333333333333</v>
      </c>
      <c r="AV36" s="87">
        <f>IF(B30&gt;0,0,IF('[1]program'!E153=AM36,0.5,IF('[1]program'!E154=AM36,0.4,IF('[1]program'!E155=AM36,0.3,IF('[1]program'!E156=AM36,0.2,IF('[1]program'!E157=AM36,0.1,0))))))</f>
        <v>0</v>
      </c>
      <c r="AW36" s="82">
        <f>1000000000*AN36+100000000*AO36+1000000*AP36+10000*AQ36+100*AS36+AT36+AV36</f>
        <v>1999999602</v>
      </c>
      <c r="AX36" s="82">
        <f>10000*AN36+100*AS36+AU36</f>
        <v>19600.333333333332</v>
      </c>
      <c r="AY36" s="82">
        <f>RANK(AX36,AX32:AX36)</f>
        <v>4</v>
      </c>
      <c r="AZ36" s="85"/>
      <c r="BA36" s="82">
        <f>IF(AL36=1,AM36,"")</f>
      </c>
      <c r="BB36" s="82">
        <f>IF(AL36=2,AM36,"")</f>
      </c>
      <c r="BC36" s="82">
        <f>IF(AL36=3,AM36,"")</f>
      </c>
      <c r="BD36" s="82">
        <f>IF(AL36=4,AM36,"")</f>
        <v>0</v>
      </c>
      <c r="BE36" s="82">
        <f>IF(AL36=5,AM36,"")</f>
      </c>
      <c r="BF36" s="85"/>
      <c r="BG36" s="82" t="str">
        <f>IF(COUNTBLANK(BE32:BE36)=5,BH36,"5C")</f>
        <v>5C</v>
      </c>
      <c r="BH36" s="82">
        <f>IF(F28=0,IF(BI36=1,VLOOKUP(5,AL32:AM36,2,0),"5C"),"5C")</f>
        <v>0</v>
      </c>
      <c r="BI36" s="82">
        <f>IF(F29=0,5-COUNTBLANK(BE32:BE36),0)</f>
        <v>1</v>
      </c>
      <c r="BJ36" s="82">
        <f>IF(BI36=2,IF(AL32=5,AM32,IF(AL33=5,AM33,IF(AL34=5,AM34,AM36))),"")</f>
      </c>
      <c r="BK36" s="87">
        <f>IF(BI36&lt;2,"",IF(CHOOSE(MATCH(BJ36,BE32:BE37,0)+1,BE32,BE33,BE34,BE35,BE36,BE37)="",IF(CHOOSE(MATCH(BJ36,BE32:BE37,0)+2,BE32,BE33,BE34,BE35,BE36,BE37)="",IF(CHOOSE(MATCH(BJ36,BE32:BE37,0)+3,BE32,BE33,BE34,BE35,BE36,BE37)="",IF(CHOOSE(MATCH(BJ36,BE32:BE37,0)+4,BE32,BE33,BE34,BE35,BE36,BE37)="",CHOOSE(MATCH(BJ36,BE32:BE37,0)+5,BE32,BE33,BE34,BE35,BE36,BE37),CHOOSE(MATCH(BJ36,BE32:BE37,0)+4,BE32,BE33,BE34,BE35,BE36,BE37)),CHOOSE(MATCH(BJ36,BE32:BE37,0)+3,BE32,BE33,BE34,BE35,BE36,BE37)),CHOOSE(MATCH(BJ36,BE32:BE37,0)+2,BE32,BE33,BE34,BE35,BE36,BE37)),CHOOSE(MATCH(BJ36,BE32:BE37,0)+1,BE32,BE33,BE34,BE35,BE36,BE37)))</f>
      </c>
      <c r="BL36" s="87"/>
      <c r="BM36" s="87"/>
      <c r="BN36" s="87"/>
      <c r="BO36" s="85"/>
    </row>
    <row r="37" spans="2:8" ht="19.5" customHeight="1" thickTop="1">
      <c r="B37" s="106">
        <v>13</v>
      </c>
      <c r="C37" s="108">
        <f>$W$34</f>
        <v>0</v>
      </c>
      <c r="D37" s="105" t="s">
        <v>1</v>
      </c>
      <c r="E37" s="108">
        <f>$Y$34</f>
        <v>1</v>
      </c>
      <c r="F37" s="108">
        <v>14</v>
      </c>
      <c r="G37" s="103">
        <f t="shared" si="4"/>
        <v>0</v>
      </c>
      <c r="H37" s="104">
        <f t="shared" si="5"/>
        <v>3</v>
      </c>
    </row>
    <row r="38" spans="2:39" ht="19.5" customHeight="1">
      <c r="B38" s="106">
        <v>13</v>
      </c>
      <c r="C38" s="108">
        <f>$AA$34</f>
        <v>1</v>
      </c>
      <c r="D38" s="105" t="s">
        <v>1</v>
      </c>
      <c r="E38" s="108">
        <f>$AC$34</f>
        <v>1</v>
      </c>
      <c r="F38" s="108">
        <v>15</v>
      </c>
      <c r="G38" s="103">
        <f t="shared" si="4"/>
        <v>1</v>
      </c>
      <c r="H38" s="104">
        <f t="shared" si="5"/>
        <v>1</v>
      </c>
      <c r="AL38" s="121"/>
      <c r="AM38" s="121"/>
    </row>
    <row r="39" spans="2:67" ht="19.5" customHeight="1" thickBot="1">
      <c r="B39" s="109">
        <v>14</v>
      </c>
      <c r="C39" s="110">
        <f>$AA$35</f>
        <v>2</v>
      </c>
      <c r="D39" s="111" t="s">
        <v>1</v>
      </c>
      <c r="E39" s="110">
        <f>$AC$35</f>
        <v>1</v>
      </c>
      <c r="F39" s="110">
        <v>15</v>
      </c>
      <c r="G39" s="112">
        <f t="shared" si="4"/>
        <v>3</v>
      </c>
      <c r="H39" s="113">
        <f t="shared" si="5"/>
        <v>0</v>
      </c>
      <c r="AL39" s="84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</row>
    <row r="40" spans="38:67" ht="19.5" customHeight="1" thickTop="1">
      <c r="AL40" s="86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</row>
    <row r="41" spans="38:67" ht="19.5" customHeight="1">
      <c r="AL41" s="86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122"/>
      <c r="BI41" s="87"/>
      <c r="BJ41" s="87"/>
      <c r="BK41" s="87"/>
      <c r="BL41" s="87"/>
      <c r="BM41" s="87"/>
      <c r="BN41" s="87"/>
      <c r="BO41" s="87"/>
    </row>
    <row r="42" spans="38:67" ht="19.5" customHeight="1">
      <c r="AL42" s="86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122"/>
      <c r="BI42" s="87"/>
      <c r="BJ42" s="87"/>
      <c r="BK42" s="87"/>
      <c r="BL42" s="87"/>
      <c r="BM42" s="87"/>
      <c r="BN42" s="87"/>
      <c r="BO42" s="87"/>
    </row>
    <row r="43" ht="19.5" customHeight="1">
      <c r="BH43" s="123"/>
    </row>
  </sheetData>
  <sheetProtection sheet="1"/>
  <protectedRanges>
    <protectedRange sqref="AJ5:AJ9 AJ19:AJ23 AJ32:AJ36" name="Oblast1"/>
  </protectedRanges>
  <mergeCells count="36">
    <mergeCell ref="S21:U21"/>
    <mergeCell ref="B2:C2"/>
    <mergeCell ref="AA36:AC36"/>
    <mergeCell ref="K5:M5"/>
    <mergeCell ref="O6:Q6"/>
    <mergeCell ref="S7:U7"/>
    <mergeCell ref="W35:Y35"/>
    <mergeCell ref="W8:Y8"/>
    <mergeCell ref="AA9:AC9"/>
    <mergeCell ref="W22:Y22"/>
    <mergeCell ref="AA23:AC23"/>
    <mergeCell ref="S34:U34"/>
    <mergeCell ref="K31:M31"/>
    <mergeCell ref="O31:Q31"/>
    <mergeCell ref="S31:U31"/>
    <mergeCell ref="AE31:AG31"/>
    <mergeCell ref="K32:M32"/>
    <mergeCell ref="O33:Q33"/>
    <mergeCell ref="AA31:AC31"/>
    <mergeCell ref="W31:Y31"/>
    <mergeCell ref="AE4:AG4"/>
    <mergeCell ref="S18:U18"/>
    <mergeCell ref="AA18:AC18"/>
    <mergeCell ref="W18:Y18"/>
    <mergeCell ref="AE18:AG18"/>
    <mergeCell ref="S4:U4"/>
    <mergeCell ref="AA4:AC4"/>
    <mergeCell ref="W4:Y4"/>
    <mergeCell ref="K4:M4"/>
    <mergeCell ref="O4:Q4"/>
    <mergeCell ref="K19:M19"/>
    <mergeCell ref="O20:Q20"/>
    <mergeCell ref="B15:C15"/>
    <mergeCell ref="B28:C28"/>
    <mergeCell ref="K18:M18"/>
    <mergeCell ref="O18:Q18"/>
  </mergeCells>
  <printOptions horizontalCentered="1" verticalCentered="1"/>
  <pageMargins left="0" right="0" top="0" bottom="0" header="0" footer="0"/>
  <pageSetup horizontalDpi="600" verticalDpi="600" orientation="landscape" paperSize="8" r:id="rId1"/>
  <ignoredErrors>
    <ignoredError sqref="F10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1">
      <selection activeCell="D5" sqref="D5"/>
    </sheetView>
  </sheetViews>
  <sheetFormatPr defaultColWidth="9.140625" defaultRowHeight="19.5" customHeight="1"/>
  <cols>
    <col min="1" max="1" width="21.8515625" style="0" customWidth="1"/>
    <col min="2" max="2" width="73.8515625" style="0" customWidth="1"/>
  </cols>
  <sheetData>
    <row r="1" ht="19.5" customHeight="1" thickBot="1"/>
    <row r="2" spans="1:2" ht="39.75" customHeight="1" thickBot="1" thickTop="1">
      <c r="A2" s="243" t="s">
        <v>125</v>
      </c>
      <c r="B2" s="244"/>
    </row>
    <row r="3" spans="1:2" ht="39.75" customHeight="1" thickBot="1" thickTop="1">
      <c r="A3" s="241" t="s">
        <v>23</v>
      </c>
      <c r="B3" s="242"/>
    </row>
    <row r="4" spans="1:2" ht="30" customHeight="1" thickTop="1">
      <c r="A4" s="141" t="s">
        <v>102</v>
      </c>
      <c r="B4" s="142" t="str">
        <f>Výsledky!$K$45</f>
        <v>Gamblers </v>
      </c>
    </row>
    <row r="5" spans="1:2" ht="30" customHeight="1">
      <c r="A5" s="137" t="s">
        <v>103</v>
      </c>
      <c r="B5" s="138" t="str">
        <f>Výsledky!$L$45</f>
        <v>Bílina</v>
      </c>
    </row>
    <row r="6" spans="1:2" ht="30" customHeight="1">
      <c r="A6" s="137" t="s">
        <v>104</v>
      </c>
      <c r="B6" s="138" t="str">
        <f>Výsledky!$K$43</f>
        <v>Partizan Most</v>
      </c>
    </row>
    <row r="7" spans="1:2" ht="30" customHeight="1">
      <c r="A7" s="137" t="s">
        <v>105</v>
      </c>
      <c r="B7" s="138" t="str">
        <f>Výsledky!$L$43</f>
        <v>FC Cutnik t.</v>
      </c>
    </row>
    <row r="8" spans="1:2" ht="30" customHeight="1">
      <c r="A8" s="137" t="s">
        <v>106</v>
      </c>
      <c r="B8" s="138" t="str">
        <f>Výsledky!$L$35</f>
        <v>GMS - MAKO </v>
      </c>
    </row>
    <row r="9" spans="1:2" ht="30" customHeight="1">
      <c r="A9" s="137" t="s">
        <v>106</v>
      </c>
      <c r="B9" s="138" t="str">
        <f>Výsledky!$L$36</f>
        <v>FCH Most</v>
      </c>
    </row>
    <row r="10" spans="1:2" ht="30" customHeight="1">
      <c r="A10" s="137" t="s">
        <v>106</v>
      </c>
      <c r="B10" s="138" t="str">
        <f>Výsledky!$L$37</f>
        <v>Sparta Chom.</v>
      </c>
    </row>
    <row r="11" spans="1:2" ht="30" customHeight="1">
      <c r="A11" s="137" t="s">
        <v>106</v>
      </c>
      <c r="B11" s="138" t="str">
        <f>Výsledky!$L$38</f>
        <v>Obrnice</v>
      </c>
    </row>
    <row r="12" spans="1:2" ht="30" customHeight="1">
      <c r="A12" s="137" t="s">
        <v>107</v>
      </c>
      <c r="B12" s="138" t="s">
        <v>116</v>
      </c>
    </row>
    <row r="13" spans="1:2" ht="30" customHeight="1">
      <c r="A13" s="137" t="s">
        <v>107</v>
      </c>
      <c r="B13" s="138" t="s">
        <v>121</v>
      </c>
    </row>
    <row r="14" spans="1:2" ht="30" customHeight="1">
      <c r="A14" s="137" t="s">
        <v>107</v>
      </c>
      <c r="B14" s="138" t="s">
        <v>123</v>
      </c>
    </row>
    <row r="15" spans="1:2" ht="30" customHeight="1">
      <c r="A15" s="137" t="s">
        <v>107</v>
      </c>
      <c r="B15" s="138" t="s">
        <v>119</v>
      </c>
    </row>
    <row r="16" spans="1:2" ht="30" customHeight="1">
      <c r="A16" s="137" t="s">
        <v>107</v>
      </c>
      <c r="B16" s="138" t="s">
        <v>124</v>
      </c>
    </row>
    <row r="17" spans="1:2" ht="30" customHeight="1">
      <c r="A17" s="137" t="s">
        <v>107</v>
      </c>
      <c r="B17" s="138" t="s">
        <v>117</v>
      </c>
    </row>
    <row r="18" spans="1:2" ht="30" customHeight="1" thickBot="1">
      <c r="A18" s="139" t="s">
        <v>107</v>
      </c>
      <c r="B18" s="140" t="s">
        <v>108</v>
      </c>
    </row>
    <row r="19" ht="19.5" customHeight="1" thickTop="1"/>
  </sheetData>
  <sheetProtection/>
  <mergeCells count="2">
    <mergeCell ref="A3:B3"/>
    <mergeCell ref="A2:B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34.5" customHeight="1"/>
  <cols>
    <col min="1" max="1" width="11.421875" style="0" customWidth="1"/>
    <col min="2" max="2" width="44.00390625" style="0" customWidth="1"/>
    <col min="3" max="3" width="31.28125" style="0" customWidth="1"/>
  </cols>
  <sheetData>
    <row r="1" spans="1:3" ht="49.5" customHeight="1" thickBot="1" thickTop="1">
      <c r="A1" s="243" t="s">
        <v>101</v>
      </c>
      <c r="B1" s="249"/>
      <c r="C1" s="244"/>
    </row>
    <row r="2" spans="1:3" ht="49.5" customHeight="1" thickBot="1" thickTop="1">
      <c r="A2" s="245" t="s">
        <v>52</v>
      </c>
      <c r="B2" s="246"/>
      <c r="C2" s="247"/>
    </row>
    <row r="3" spans="1:3" ht="49.5" customHeight="1" thickBot="1" thickTop="1">
      <c r="A3" s="245"/>
      <c r="B3" s="248"/>
      <c r="C3" s="247"/>
    </row>
    <row r="4" spans="1:3" ht="45" customHeight="1" thickTop="1">
      <c r="A4" s="124" t="s">
        <v>50</v>
      </c>
      <c r="B4" s="126" t="s">
        <v>51</v>
      </c>
      <c r="C4" s="127" t="s">
        <v>100</v>
      </c>
    </row>
    <row r="5" spans="1:3" ht="39.75" customHeight="1">
      <c r="A5" s="54"/>
      <c r="B5" s="59"/>
      <c r="C5" s="55"/>
    </row>
    <row r="6" spans="1:3" ht="39.75" customHeight="1">
      <c r="A6" s="54"/>
      <c r="B6" s="59"/>
      <c r="C6" s="55"/>
    </row>
    <row r="7" spans="1:3" ht="39.75" customHeight="1">
      <c r="A7" s="54"/>
      <c r="B7" s="59"/>
      <c r="C7" s="55"/>
    </row>
    <row r="8" spans="1:3" ht="39.75" customHeight="1">
      <c r="A8" s="54"/>
      <c r="B8" s="59"/>
      <c r="C8" s="55"/>
    </row>
    <row r="9" spans="1:3" ht="39.75" customHeight="1">
      <c r="A9" s="54"/>
      <c r="B9" s="59"/>
      <c r="C9" s="55"/>
    </row>
    <row r="10" spans="1:3" ht="39.75" customHeight="1">
      <c r="A10" s="54"/>
      <c r="B10" s="59"/>
      <c r="C10" s="55"/>
    </row>
    <row r="11" spans="1:3" ht="39.75" customHeight="1">
      <c r="A11" s="54"/>
      <c r="B11" s="59"/>
      <c r="C11" s="55"/>
    </row>
    <row r="12" spans="1:3" ht="39.75" customHeight="1">
      <c r="A12" s="54"/>
      <c r="B12" s="59"/>
      <c r="C12" s="55"/>
    </row>
    <row r="13" spans="1:3" ht="39.75" customHeight="1">
      <c r="A13" s="54"/>
      <c r="B13" s="59"/>
      <c r="C13" s="55"/>
    </row>
    <row r="14" spans="1:3" ht="39.75" customHeight="1" thickBot="1">
      <c r="A14" s="56"/>
      <c r="B14" s="125"/>
      <c r="C14" s="57"/>
    </row>
    <row r="15" ht="34.5" customHeight="1" thickTop="1"/>
  </sheetData>
  <sheetProtection/>
  <mergeCells count="3">
    <mergeCell ref="A2:C2"/>
    <mergeCell ref="A3:C3"/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Rafinery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Alta</cp:lastModifiedBy>
  <cp:lastPrinted>2009-09-03T13:49:12Z</cp:lastPrinted>
  <dcterms:created xsi:type="dcterms:W3CDTF">2008-09-24T08:56:41Z</dcterms:created>
  <dcterms:modified xsi:type="dcterms:W3CDTF">2012-12-26T17:04:47Z</dcterms:modified>
  <cp:category/>
  <cp:version/>
  <cp:contentType/>
  <cp:contentStatus/>
</cp:coreProperties>
</file>